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95" windowWidth="18480" windowHeight="11160" activeTab="0"/>
  </bookViews>
  <sheets>
    <sheet name="Documentation_2008" sheetId="1" r:id="rId1"/>
    <sheet name="Documentation_2007" sheetId="2" r:id="rId2"/>
    <sheet name="INPUT" sheetId="3" r:id="rId3"/>
    <sheet name="NORTH FORK" sheetId="4" r:id="rId4"/>
    <sheet name="ARIKAREE" sheetId="5" r:id="rId5"/>
    <sheet name="BUFFALO" sheetId="6" r:id="rId6"/>
    <sheet name="ROCK" sheetId="7" r:id="rId7"/>
    <sheet name="SOUTH FORK" sheetId="8" r:id="rId8"/>
    <sheet name="FRENCHMAN" sheetId="9" r:id="rId9"/>
    <sheet name="DRIFTWOOD" sheetId="10" r:id="rId10"/>
    <sheet name="RED WILLOW" sheetId="11" r:id="rId11"/>
    <sheet name="MEDICINE CREEK" sheetId="12" r:id="rId12"/>
    <sheet name="BEAVER" sheetId="13" r:id="rId13"/>
    <sheet name="SAPPA" sheetId="14" r:id="rId14"/>
    <sheet name="PRAIRIE DOG" sheetId="15" r:id="rId15"/>
    <sheet name="MAINSTEM" sheetId="16" r:id="rId16"/>
    <sheet name="T1" sheetId="17" r:id="rId17"/>
    <sheet name="T2" sheetId="18" r:id="rId18"/>
    <sheet name="T3 A,B,C" sheetId="19" r:id="rId19"/>
    <sheet name="T4 A,B" sheetId="20" r:id="rId20"/>
    <sheet name="T5A" sheetId="21" r:id="rId21"/>
    <sheet name="T5 B,E" sheetId="22" r:id="rId22"/>
    <sheet name="T5 C,D" sheetId="23" r:id="rId23"/>
    <sheet name="Attachment6" sheetId="24" r:id="rId24"/>
    <sheet name="Attachment7" sheetId="25" r:id="rId25"/>
    <sheet name="import_GM_output" sheetId="26" r:id="rId26"/>
    <sheet name="GM_output" sheetId="27" r:id="rId27"/>
    <sheet name="CourtlandAvLove" sheetId="28" r:id="rId28"/>
    <sheet name="Fed_Reservoir" sheetId="29" r:id="rId29"/>
    <sheet name="Fed_Reservoir_v0" sheetId="30" r:id="rId30"/>
    <sheet name="CourtlandAvLove_2007" sheetId="31" r:id="rId31"/>
  </sheets>
  <definedNames>
    <definedName name="CanalCUPercent">'INPUT'!$C$148</definedName>
    <definedName name="MI_CUPercent">'INPUT'!$C$150</definedName>
    <definedName name="_xlnm.Print_Area" localSheetId="4">'ARIKAREE'!$A:$B</definedName>
    <definedName name="_xlnm.Print_Area" localSheetId="24">'Attachment7'!$A$1:$K$32</definedName>
    <definedName name="_xlnm.Print_Area" localSheetId="12">'BEAVER'!$A:$B</definedName>
    <definedName name="_xlnm.Print_Area" localSheetId="5">'BUFFALO'!$A:$B</definedName>
    <definedName name="_xlnm.Print_Area" localSheetId="1">'Documentation_2007'!$A$1:$H$61</definedName>
    <definedName name="_xlnm.Print_Area" localSheetId="9">'DRIFTWOOD'!$A:$B</definedName>
    <definedName name="_xlnm.Print_Area" localSheetId="8">'FRENCHMAN'!$A:$B</definedName>
    <definedName name="_xlnm.Print_Area" localSheetId="2">'INPUT'!$A$1:$C$275</definedName>
    <definedName name="_xlnm.Print_Area" localSheetId="15">'MAINSTEM'!$A$1:$B$198</definedName>
    <definedName name="_xlnm.Print_Area" localSheetId="11">'MEDICINE CREEK'!$A:$B</definedName>
    <definedName name="_xlnm.Print_Area" localSheetId="3">'NORTH FORK'!$A$1:$B$66</definedName>
    <definedName name="_xlnm.Print_Area" localSheetId="14">'PRAIRIE DOG'!$A:$B</definedName>
    <definedName name="_xlnm.Print_Area" localSheetId="10">'RED WILLOW'!$A:$B</definedName>
    <definedName name="_xlnm.Print_Area" localSheetId="6">'ROCK'!$A:$B</definedName>
    <definedName name="_xlnm.Print_Area" localSheetId="13">'SAPPA'!$A:$B</definedName>
    <definedName name="_xlnm.Print_Area" localSheetId="7">'SOUTH FORK'!$A:$B</definedName>
    <definedName name="_xlnm.Print_Area" localSheetId="16">'T1'!$A$1:$K$20</definedName>
    <definedName name="_xlnm.Print_Area" localSheetId="17">'T2'!$A$1:$J$18</definedName>
    <definedName name="_xlnm.Print_Area" localSheetId="19">'T4 A,B'!$A$1:$H$16</definedName>
    <definedName name="_xlnm.Print_Area" localSheetId="21">'T5 B,E'!$A$1:$G$16</definedName>
    <definedName name="_xlnm.Print_Area" localSheetId="22">'T5 C,D'!$A$1:$I$9</definedName>
    <definedName name="_xlnm.Print_Area" localSheetId="20">'T5A'!$A$1:$E$8</definedName>
    <definedName name="_xlnm.Print_Titles" localSheetId="4">'ARIKAREE'!$1:$2</definedName>
    <definedName name="_xlnm.Print_Titles" localSheetId="12">'BEAVER'!$1:$2</definedName>
    <definedName name="_xlnm.Print_Titles" localSheetId="5">'BUFFALO'!$1:$2</definedName>
    <definedName name="_xlnm.Print_Titles" localSheetId="9">'DRIFTWOOD'!$1:$2</definedName>
    <definedName name="_xlnm.Print_Titles" localSheetId="8">'FRENCHMAN'!$1:$2</definedName>
    <definedName name="_xlnm.Print_Titles" localSheetId="2">'INPUT'!$1:$2</definedName>
    <definedName name="_xlnm.Print_Titles" localSheetId="15">'MAINSTEM'!$1:$2</definedName>
    <definedName name="_xlnm.Print_Titles" localSheetId="11">'MEDICINE CREEK'!$1:$2</definedName>
    <definedName name="_xlnm.Print_Titles" localSheetId="3">'NORTH FORK'!$1:$2</definedName>
    <definedName name="_xlnm.Print_Titles" localSheetId="14">'PRAIRIE DOG'!$1:$2</definedName>
    <definedName name="_xlnm.Print_Titles" localSheetId="10">'RED WILLOW'!$1:$2</definedName>
    <definedName name="_xlnm.Print_Titles" localSheetId="6">'ROCK'!$1:$2</definedName>
    <definedName name="_xlnm.Print_Titles" localSheetId="13">'SAPPA'!$1:$2</definedName>
    <definedName name="_xlnm.Print_Titles" localSheetId="7">'SOUTH FORK'!$1:$2</definedName>
    <definedName name="PumperCUPercent">'INPUT'!$C$149</definedName>
  </definedNames>
  <calcPr fullCalcOnLoad="1"/>
</workbook>
</file>

<file path=xl/comments3.xml><?xml version="1.0" encoding="utf-8"?>
<comments xmlns="http://schemas.openxmlformats.org/spreadsheetml/2006/main">
  <authors>
    <author>Sam Perkins</author>
  </authors>
  <commentList>
    <comment ref="K1" authorId="0">
      <text>
        <r>
          <rPr>
            <b/>
            <sz val="8"/>
            <rFont val="Tahoma"/>
            <family val="2"/>
          </rPr>
          <t>NE version:</t>
        </r>
        <r>
          <rPr>
            <sz val="8"/>
            <rFont val="Tahoma"/>
            <family val="2"/>
          </rPr>
          <t xml:space="preserve">
file DRAFT 2004-2008 Corrected Inputs RRCA Accounting Procedures.xls</t>
        </r>
      </text>
    </comment>
    <comment ref="G141" authorId="0">
      <text>
        <r>
          <rPr>
            <b/>
            <sz val="8"/>
            <rFont val="Tahoma"/>
            <family val="2"/>
          </rPr>
          <t>NE correction 1:</t>
        </r>
        <r>
          <rPr>
            <sz val="8"/>
            <rFont val="Tahoma"/>
            <family val="2"/>
          </rPr>
          <t xml:space="preserve">
from 590 af to 1287 af for 2006; see NE 5-yr acctg documentation.</t>
        </r>
      </text>
    </comment>
    <comment ref="H141" authorId="0">
      <text>
        <r>
          <rPr>
            <b/>
            <sz val="8"/>
            <rFont val="Tahoma"/>
            <family val="2"/>
          </rPr>
          <t>NE correction 2:</t>
        </r>
        <r>
          <rPr>
            <sz val="8"/>
            <rFont val="Tahoma"/>
            <family val="2"/>
          </rPr>
          <t xml:space="preserve">
from 675 to 1033 af; see NE 5-yr documentation</t>
        </r>
      </text>
    </comment>
    <comment ref="G224" authorId="0">
      <text>
        <r>
          <rPr>
            <b/>
            <sz val="8"/>
            <rFont val="Tahoma"/>
            <family val="2"/>
          </rPr>
          <t>no change for NE correction no. 3:</t>
        </r>
        <r>
          <rPr>
            <sz val="8"/>
            <rFont val="Tahoma"/>
            <family val="2"/>
          </rPr>
          <t xml:space="preserve">
shows same value as NE correction for 2006; see NE 5-yr documentation</t>
        </r>
      </text>
    </comment>
    <comment ref="H228" authorId="0">
      <text>
        <r>
          <rPr>
            <b/>
            <sz val="8"/>
            <rFont val="Tahoma"/>
            <family val="2"/>
          </rPr>
          <t>no change for NE correction no. 4:</t>
        </r>
        <r>
          <rPr>
            <sz val="8"/>
            <rFont val="Tahoma"/>
            <family val="2"/>
          </rPr>
          <t xml:space="preserve">
130 af is same value as NE corrected value; see NE 5-yr doc.</t>
        </r>
      </text>
    </comment>
    <comment ref="H236" authorId="0">
      <text>
        <r>
          <rPr>
            <b/>
            <sz val="8"/>
            <rFont val="Tahoma"/>
            <family val="2"/>
          </rPr>
          <t>NE correction no. 5:</t>
        </r>
        <r>
          <rPr>
            <sz val="8"/>
            <rFont val="Tahoma"/>
            <family val="2"/>
          </rPr>
          <t xml:space="preserve">
from 2096 to 0 af; see NE 5-yr documentation</t>
        </r>
      </text>
    </comment>
    <comment ref="F270" authorId="0">
      <text>
        <r>
          <rPr>
            <b/>
            <sz val="8"/>
            <rFont val="Tahoma"/>
            <family val="2"/>
          </rPr>
          <t>NE correction no. 6:</t>
        </r>
        <r>
          <rPr>
            <sz val="8"/>
            <rFont val="Tahoma"/>
            <family val="2"/>
          </rPr>
          <t xml:space="preserve">
changed from 25590 (2004 value) to 25440 af; see NE 5-yr documentation.</t>
        </r>
      </text>
    </comment>
    <comment ref="H270" authorId="0">
      <text>
        <r>
          <rPr>
            <b/>
            <sz val="8"/>
            <rFont val="Tahoma"/>
            <family val="2"/>
          </rPr>
          <t>NE correction no. 7:</t>
        </r>
        <r>
          <rPr>
            <sz val="8"/>
            <rFont val="Tahoma"/>
            <family val="2"/>
          </rPr>
          <t xml:space="preserve">
changed from 36663 in KS version to 35960 af; see NE 5-yr documentation.</t>
        </r>
      </text>
    </comment>
  </commentList>
</comments>
</file>

<file path=xl/sharedStrings.xml><?xml version="1.0" encoding="utf-8"?>
<sst xmlns="http://schemas.openxmlformats.org/spreadsheetml/2006/main" count="2511" uniqueCount="700">
  <si>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</si>
  <si>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</si>
  <si>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</si>
  <si>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</si>
  <si>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</si>
  <si>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</si>
  <si>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</si>
  <si>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</si>
  <si>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</si>
  <si>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</si>
  <si>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</si>
  <si>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</si>
  <si>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</si>
  <si>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</si>
  <si>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</si>
  <si>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</si>
  <si>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</si>
  <si>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</si>
  <si>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</si>
  <si>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</si>
  <si>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</si>
  <si>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</si>
  <si>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</si>
  <si>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</si>
  <si>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</si>
  <si>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</si>
  <si>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</si>
  <si>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</si>
  <si>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</si>
  <si>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</si>
  <si>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</si>
  <si>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</si>
  <si>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</si>
  <si>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</si>
  <si>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</si>
  <si>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</si>
  <si>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</si>
  <si>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</si>
  <si>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</si>
  <si>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</si>
  <si>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Allocation (Five-year Average)</t>
  </si>
  <si>
    <t>Unallocated Supply (Five-year Average)</t>
  </si>
  <si>
    <t>Imported Water Supply Credit (Five-year Average)</t>
  </si>
  <si>
    <t>Total Available Supply</t>
  </si>
  <si>
    <t>Computed Beneficial Consumptive Use (Five-year Average)</t>
  </si>
  <si>
    <t>Available Supply - CBCU</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</si>
  <si>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</si>
  <si>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</si>
  <si>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</si>
  <si>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</si>
  <si>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</si>
  <si>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</si>
  <si>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</si>
  <si>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</si>
  <si>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</si>
  <si>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</si>
  <si>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</si>
  <si>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</si>
  <si>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</si>
  <si>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</si>
  <si>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</si>
  <si>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</si>
  <si>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</si>
  <si>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</si>
  <si>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</si>
  <si>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</si>
  <si>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</si>
  <si>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</si>
  <si>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</si>
  <si>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</si>
  <si>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</si>
  <si>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</si>
  <si>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</si>
  <si>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</si>
  <si>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</si>
  <si>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</si>
  <si>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</si>
  <si>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</si>
  <si>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</si>
  <si>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</si>
  <si>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</si>
  <si>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</si>
  <si>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</si>
  <si>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</si>
  <si>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</si>
  <si>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</si>
  <si>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</si>
  <si>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</si>
  <si>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</si>
  <si>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</si>
  <si>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</si>
  <si>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</si>
  <si>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</si>
  <si>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</si>
  <si>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</si>
  <si>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</si>
  <si>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</si>
  <si>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</si>
  <si>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</si>
  <si>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</si>
  <si>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</si>
  <si>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</si>
  <si>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</si>
  <si>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</si>
  <si>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</si>
  <si>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</si>
  <si>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</si>
  <si>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</si>
  <si>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</si>
  <si>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</si>
  <si>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</si>
  <si>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</si>
  <si>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</si>
  <si>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</si>
  <si>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</si>
  <si>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</si>
  <si>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</si>
  <si>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</si>
  <si>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</si>
  <si>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</si>
  <si>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</si>
  <si>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</si>
  <si>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</si>
  <si>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</si>
  <si>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</si>
  <si>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</si>
  <si>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</si>
  <si>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</si>
  <si>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</si>
  <si>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</si>
  <si>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</si>
  <si>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</si>
  <si>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</si>
  <si>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</si>
  <si>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</si>
  <si>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</si>
  <si>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</si>
  <si>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</si>
  <si>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</si>
  <si>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</si>
  <si>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</si>
  <si>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</si>
  <si>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</si>
  <si>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</si>
  <si>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</si>
  <si>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</si>
  <si>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</si>
  <si>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</si>
  <si>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</si>
  <si>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</si>
  <si>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</si>
  <si>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</si>
  <si>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</si>
  <si>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</si>
  <si>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</si>
  <si>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</si>
  <si>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</si>
  <si>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</si>
  <si>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</si>
  <si>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</si>
  <si>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</si>
  <si>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</si>
  <si>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</si>
  <si>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</si>
  <si>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</si>
  <si>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</si>
  <si>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</si>
  <si>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</si>
  <si>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</si>
  <si>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</si>
  <si>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</si>
  <si>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</si>
  <si>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</si>
  <si>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</si>
  <si>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</si>
  <si>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</si>
  <si>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</si>
  <si>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</si>
  <si>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</si>
  <si>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</si>
  <si>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</si>
  <si>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</si>
  <si>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</si>
  <si>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</si>
  <si>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</si>
  <si>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</si>
  <si>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</si>
  <si>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</si>
  <si>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</si>
  <si>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</si>
  <si>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</si>
  <si>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</si>
  <si>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</si>
  <si>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</si>
  <si>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</si>
  <si>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</si>
  <si>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</si>
  <si>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</si>
  <si>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</si>
  <si>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</si>
  <si>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</si>
  <si>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</si>
  <si>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</si>
  <si>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</si>
  <si>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</si>
  <si>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</si>
  <si>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</si>
  <si>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</si>
  <si>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</si>
  <si>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</si>
  <si>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</si>
  <si>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</si>
  <si>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</si>
  <si>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</si>
  <si>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</si>
  <si>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</si>
  <si>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</si>
  <si>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</si>
  <si>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</si>
  <si>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</si>
  <si>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</si>
  <si>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</si>
  <si>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</si>
  <si>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</si>
  <si>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</si>
  <si>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</si>
  <si>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</si>
  <si>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</si>
  <si>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</si>
  <si>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</si>
  <si>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</si>
  <si>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</si>
  <si>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</si>
  <si>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</si>
  <si>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</si>
  <si>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</si>
  <si>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</si>
  <si>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</si>
  <si>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</si>
  <si>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</si>
  <si>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</si>
  <si>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</si>
  <si>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</si>
  <si>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</si>
  <si>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</si>
  <si>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</si>
  <si>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</si>
  <si>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</si>
  <si>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</si>
  <si>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</si>
  <si>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</si>
  <si>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</si>
  <si>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</si>
  <si>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</si>
  <si>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</si>
  <si>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</si>
  <si>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</si>
  <si>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</si>
  <si>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</si>
  <si>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</si>
  <si>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</si>
  <si>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</si>
  <si>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</si>
  <si>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</si>
  <si>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</si>
  <si>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</si>
  <si>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</si>
  <si>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</si>
  <si>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</si>
  <si>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</si>
  <si>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</si>
  <si>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</si>
  <si>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</si>
  <si>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</si>
  <si>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</si>
  <si>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</si>
  <si>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</si>
  <si>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</si>
  <si>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</si>
  <si>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</si>
  <si>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</si>
  <si>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</si>
  <si>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</si>
  <si>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</si>
  <si>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</si>
  <si>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</si>
  <si>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</si>
  <si>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</si>
  <si>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</si>
  <si>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</si>
  <si>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</si>
  <si>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</si>
  <si>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</si>
  <si>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</si>
  <si>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</si>
  <si>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</si>
  <si>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</si>
  <si>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</si>
  <si>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</si>
  <si>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</si>
  <si>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</si>
  <si>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</si>
  <si>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</si>
  <si>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</si>
  <si>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</si>
  <si>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</si>
  <si>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</si>
  <si>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</si>
  <si>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</si>
  <si>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</si>
  <si>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</si>
  <si>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</si>
  <si>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</si>
  <si>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</si>
  <si>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</si>
  <si>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</si>
  <si>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</si>
  <si>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</si>
  <si>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</si>
  <si>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</si>
  <si>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</si>
  <si>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</si>
  <si>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</si>
  <si>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</si>
  <si>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</si>
  <si>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</si>
  <si>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</si>
  <si>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</si>
  <si>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</si>
  <si>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</si>
  <si>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</si>
  <si>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</si>
  <si>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</si>
  <si>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</si>
  <si>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</si>
  <si>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</si>
  <si>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</si>
  <si>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</si>
  <si>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</si>
  <si>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</si>
  <si>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</si>
  <si>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</si>
  <si>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</si>
  <si>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</si>
  <si>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</si>
  <si>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</si>
  <si>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</si>
  <si>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</si>
  <si>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</si>
  <si>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</si>
  <si>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</si>
  <si>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</si>
  <si>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</si>
  <si>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</si>
  <si>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</si>
  <si>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</si>
  <si>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</si>
  <si>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</si>
  <si>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</si>
  <si>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</si>
  <si>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</si>
  <si>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</si>
  <si>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</si>
  <si>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</si>
  <si>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</si>
  <si>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</si>
  <si>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</si>
  <si>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</si>
  <si>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</si>
  <si>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</si>
  <si>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</si>
  <si>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</si>
  <si>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</si>
  <si>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</si>
  <si>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</si>
  <si>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</si>
  <si>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</si>
  <si>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</si>
  <si>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</si>
  <si>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</si>
  <si>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</si>
  <si>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</si>
  <si>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</si>
  <si>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</si>
  <si>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</si>
  <si>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</si>
  <si>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</si>
  <si>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</si>
  <si>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</si>
  <si>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</si>
  <si>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</si>
  <si>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</si>
  <si>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</si>
  <si>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</si>
  <si>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</si>
  <si>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</si>
  <si>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</si>
  <si>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</si>
  <si>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</si>
  <si>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</si>
  <si>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</si>
  <si>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</si>
  <si>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</si>
  <si>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</si>
  <si>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</si>
  <si>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</si>
  <si>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</si>
  <si>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</si>
  <si>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</si>
  <si>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</si>
  <si>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</si>
  <si>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</si>
  <si>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</si>
  <si>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</si>
  <si>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</si>
  <si>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</si>
  <si>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</si>
  <si>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</si>
  <si>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</si>
  <si>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</si>
  <si>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</si>
  <si>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</si>
  <si>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</si>
  <si>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</si>
  <si>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</si>
  <si>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</si>
  <si>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</si>
  <si>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</si>
  <si>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</si>
  <si>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</si>
  <si>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</si>
  <si>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</si>
  <si>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</si>
  <si>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</si>
  <si>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</si>
  <si>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Last update: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</si>
  <si>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</si>
  <si>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</si>
  <si>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</si>
  <si>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</si>
  <si>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</si>
  <si>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</si>
  <si>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</si>
  <si>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</si>
  <si>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</si>
  <si>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</si>
  <si>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</si>
  <si>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</si>
  <si>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</si>
  <si>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</si>
  <si>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</si>
  <si>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</si>
  <si>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</si>
  <si>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</si>
  <si>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</si>
  <si>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</si>
  <si>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</si>
  <si>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</si>
  <si>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</si>
  <si>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</si>
  <si>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</si>
  <si>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</si>
  <si>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</si>
  <si>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</si>
  <si>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</si>
  <si>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</si>
  <si>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</si>
  <si>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</si>
  <si>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</si>
  <si>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</si>
  <si>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Allocation - (CBCU - IWS)</t>
  </si>
  <si>
    <t>Allocation - (CBCU - IWS Credit)</t>
  </si>
  <si>
    <t>Allocation - (CBCU - IWS above Guide Rock)</t>
  </si>
  <si>
    <t>Diversion and Delivery Data are from following USBR files:</t>
  </si>
  <si>
    <t>Rows 17 &amp; 18:</t>
  </si>
  <si>
    <t>F-VAL3MWD.XLS</t>
  </si>
  <si>
    <t>Rows 19 - 22:</t>
  </si>
  <si>
    <t>F-CAMB3MWD.XLS</t>
  </si>
  <si>
    <t>Rows 23 - 25, 27 - 28:</t>
  </si>
  <si>
    <t>Row 26:</t>
  </si>
  <si>
    <t>Rows 29 - 30::</t>
  </si>
  <si>
    <t>KS-BOST3MWD.XLS</t>
  </si>
  <si>
    <t>Nebraska Bostwick Diversions During Irrigation Season (2001-2003 average, no diverison in 2004)</t>
  </si>
  <si>
    <t xml:space="preserve"> </t>
  </si>
  <si>
    <t>Impacts 2005 (acre-feet)</t>
  </si>
  <si>
    <r>
      <t xml:space="preserve">Harlan County Evaporation Charged To Nebraska (2001-2003 average, no diversion in </t>
    </r>
    <r>
      <rPr>
        <b/>
        <sz val="10"/>
        <rFont val="Arial"/>
        <family val="2"/>
      </rPr>
      <t>2005</t>
    </r>
    <r>
      <rPr>
        <sz val="10"/>
        <rFont val="Arial"/>
        <family val="2"/>
      </rPr>
      <t>)</t>
    </r>
  </si>
  <si>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</si>
  <si>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</si>
  <si>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</si>
  <si>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</si>
  <si>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</si>
  <si>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</si>
  <si>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</si>
  <si>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</si>
  <si>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</si>
  <si>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</si>
  <si>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</si>
  <si>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</si>
  <si>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</si>
  <si>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</si>
  <si>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</si>
  <si>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 xml:space="preserve">Storage Change </t>
  </si>
  <si>
    <t>AF</t>
  </si>
  <si>
    <t>%</t>
  </si>
  <si>
    <t>Diversions during Release Season</t>
  </si>
  <si>
    <t>Harlan County Lake Net Evaporation Split</t>
  </si>
  <si>
    <t>Kansas Bostwick Diversions During Irrigation Season (2001-2003 average, no diversion in 2005)</t>
  </si>
  <si>
    <t>Nebraska Bostwick Diversions During Irrigation Season (2001-2003 average, no diversion in 2005)</t>
  </si>
  <si>
    <t>Year 1</t>
  </si>
  <si>
    <t>Year 2</t>
  </si>
  <si>
    <t>Year 3</t>
  </si>
  <si>
    <t>Year 4</t>
  </si>
  <si>
    <t>Year 5</t>
  </si>
  <si>
    <t>Unallocated Supply</t>
  </si>
  <si>
    <t xml:space="preserve">Imported Water Supply Credit </t>
  </si>
  <si>
    <t xml:space="preserve">Computed Beneficial Consumptive Use </t>
  </si>
  <si>
    <t>Colorado detail</t>
  </si>
  <si>
    <t>Kansas detail</t>
  </si>
  <si>
    <t xml:space="preserve">Unused Allocation from Colorado </t>
  </si>
  <si>
    <t xml:space="preserve">Total Available Supply </t>
  </si>
  <si>
    <t>Impacts 2003 (acre-feet)</t>
  </si>
  <si>
    <t>Impacts 2004 (acre-feet)</t>
  </si>
  <si>
    <t>Previous Years' computations for multi-year tests</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</si>
  <si>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</si>
  <si>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</si>
  <si>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</si>
  <si>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</si>
  <si>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</si>
  <si>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</si>
  <si>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</si>
  <si>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Impacts 2006 (acre-feet)</t>
  </si>
  <si>
    <t>This data is from CourtlandAvLove worksheet in this workbook based on diversions during the irrigation season.</t>
  </si>
  <si>
    <t>Workbook name:</t>
  </si>
  <si>
    <t>Kansas' Share of Unused Colorado Allocation</t>
  </si>
  <si>
    <t xml:space="preserve">Starting workbook name: </t>
  </si>
  <si>
    <t>RRCA AccountingFor2005 w NFR evap entire basin.xls</t>
  </si>
  <si>
    <t>Mainstem Total</t>
  </si>
  <si>
    <t>Impacts 2007 (acre-feet)</t>
  </si>
  <si>
    <t>updated 4/23/08 by M. Billinger</t>
  </si>
  <si>
    <t>GM output tab updated with values listed in "preliminary impacts for 2007" table from RRCA website</t>
  </si>
  <si>
    <t>Surface water pumping data for KS was updated</t>
  </si>
  <si>
    <t>Non-federal reservoir evaporation data for KS was updated</t>
  </si>
  <si>
    <t>Canal data for Almena diversions and return flow updated</t>
  </si>
  <si>
    <t>Kansas Bostwick and NE Bostwick Diversion cell formulas fixed</t>
  </si>
  <si>
    <t>For "INPUT" Tab:</t>
  </si>
  <si>
    <t>For "CourlandAvLove" Tab:</t>
  </si>
  <si>
    <t>For "Fed_Reservoir" Tab:</t>
  </si>
  <si>
    <t>Reservoir change in storage and evaporation figures updated from KS_Fed_Net_Evap_dS2007.xls</t>
  </si>
  <si>
    <t>Reservoir evaporation and change in storage and cell formulas fixed</t>
  </si>
  <si>
    <r>
      <t xml:space="preserve">NE-BOST3MWD.XLS </t>
    </r>
    <r>
      <rPr>
        <sz val="10"/>
        <color indexed="10"/>
        <rFont val="Arial"/>
        <family val="2"/>
      </rPr>
      <t>No diversions made by NE Bostwick in 2007</t>
    </r>
  </si>
  <si>
    <t>For "Attachment 7" tab:</t>
  </si>
  <si>
    <t>Columns 2 and 4 updated with 2007 canal data provided by USBR</t>
  </si>
  <si>
    <t>Diversions of Republican River water from Lovewell Reservoir to the Courtland Canal below Lovewell was hand entered</t>
  </si>
  <si>
    <t>Haigler Canal entries updated based upon Colorado report for 2007 - Note Colorado report used for Haigler Canal Diversions - Nebraska entry</t>
  </si>
  <si>
    <t>Stream Gage data for all sites were updated to CY values (last quarter of 2007 provisional)</t>
  </si>
  <si>
    <t>updated NFR evaporation in "INPUT" tab for NE values listed in "NetEvap_bySubbasin_AboveHarlanCoLake_2007.xls</t>
  </si>
  <si>
    <t>Updated 4/28/08 by M. Billinger</t>
  </si>
  <si>
    <t>updated "FedReservoir" tab from NE data from ReservoirNetEvap07.xls, ResStorChange07.xls &amp; Hclake_Split_2007.xls and cross checked values against KS prelim versions</t>
  </si>
  <si>
    <t>Data Source: cout wrk sht 07.XLS from the BOR plus for October, November and December values received from BOR in C07-dly.xls, C151-dly.xls and C348-dly.xls.</t>
  </si>
  <si>
    <r>
      <t xml:space="preserve">Note that for "INPUT" tab under Canals, this spreadsheet refers to the CourtlandavLove tab for the Courtland Canal At Kansas-Nebraska State Line entry of </t>
    </r>
    <r>
      <rPr>
        <b/>
        <sz val="10"/>
        <rFont val="Arial"/>
        <family val="2"/>
      </rPr>
      <t>56136 AF</t>
    </r>
    <r>
      <rPr>
        <sz val="10"/>
        <rFont val="Arial"/>
        <family val="0"/>
      </rPr>
      <t xml:space="preserve"> vs. the NE reported USGS value of 56087.9 AF</t>
    </r>
  </si>
  <si>
    <t>Corrected cell J22 in "Attachment 6" tab to reference C180 instead of C178 of "INPUT" tab</t>
  </si>
  <si>
    <t>fixed cell references in "INPUT" tab under canals to read to values in "Attachment 7" tab instead of manual entries</t>
  </si>
  <si>
    <r>
      <t xml:space="preserve">updated NE Haigler Canal value in "INPUT" tab, cell C232 from NE canal information reported. </t>
    </r>
    <r>
      <rPr>
        <b/>
        <sz val="10"/>
        <rFont val="Arial"/>
        <family val="2"/>
      </rPr>
      <t xml:space="preserve"> </t>
    </r>
  </si>
  <si>
    <t>Preliminary Compact Accounting for 2007 with non-federal reservoir evaporation below Harlan County and HC split 51/49</t>
  </si>
  <si>
    <t>Updated 4/29/2008 by D Barfield</t>
  </si>
  <si>
    <t>HC evaporation split 51/49</t>
  </si>
  <si>
    <t>Some formatting</t>
  </si>
  <si>
    <t>2006 values updated based on split in HC evaporation; Table 5 C updated for formula error found in previous work</t>
  </si>
  <si>
    <t>Updated 5/23/08 by M. Billinger</t>
  </si>
  <si>
    <t>USGS @ Guiderock value changed to NE DNR value from USGS value</t>
  </si>
  <si>
    <t xml:space="preserve">Table updated from cout wrk sht 07.XLS from the BOR </t>
  </si>
  <si>
    <t>Updated 5/28/08 by M. Billinger</t>
  </si>
  <si>
    <t>Updated 2006 numbers to reflect corrections made to 2006 accounting (reference "Corrected RRCA Accounting For 2006_KS_Version.xls")</t>
  </si>
  <si>
    <t>mb</t>
  </si>
  <si>
    <t>Fixed cell references for Tab "T4A,B" for KS detail table for 2006 and 2007 values</t>
  </si>
  <si>
    <t>Corrected Non-Federal Reservoir Evaporation - Nebraska for both Above and Below Guide Rock Gage values for the Mainstem to include NFR evap below HC</t>
  </si>
  <si>
    <t>Updated May 2008 to be consistent with "Corrected RRCA Accounting For 2006_KS_Version.xls"</t>
  </si>
  <si>
    <t>Updated 5/30/08 by M. Billinger</t>
  </si>
  <si>
    <t>Cell reference and equation errors corrected in table 5B and E</t>
  </si>
  <si>
    <t>Updated 7/29/08 by M. Billinger</t>
  </si>
  <si>
    <t xml:space="preserve">NE shapefile "sw07_no0" was sorted by canal id of 9000 or greater to generate a list of small surface water diversions (according to instructions from Paul Koester).  Then a subbasin field was </t>
  </si>
  <si>
    <t xml:space="preserve">added by means of a spatial join in ArcGIS with a subbasin shapefile for the Republican River basin.  Note:  In cases where the surface water irrigated acreage overlaps subbasin boundaries, the </t>
  </si>
  <si>
    <t>use was assigned to the subbasin where the majority of the acreage lies, not where the physical diversion location is (data not provided by Nebraska).</t>
  </si>
  <si>
    <t>updated streamgage data to NE SreamFlow07CY_Provisional.xls - Note: NE DNR provided 2 values for RR@GuideRock gage, one for USGS the other as DNR value.  DNR value was entered.</t>
  </si>
  <si>
    <t>An average value for Small Surface water diversions entered in "INPUT" tab Note: NE has still not submitted actual data yet for GW or SW pumping</t>
  </si>
  <si>
    <t>Updated 8/08/08 by M. Billinger</t>
  </si>
  <si>
    <t>GM_output tab was updated to reflect updates to predicted impacts as provided by Willem</t>
  </si>
  <si>
    <t>KS Version RRCA Accounting For 2007_8_8_2008.xls</t>
  </si>
  <si>
    <t>Updated 8/11/08 by M. Billinger</t>
  </si>
  <si>
    <t>CO inputs updated based upon CO's submitted input worksheet</t>
  </si>
  <si>
    <t>NE inputs updated based upon NE input sheet</t>
  </si>
  <si>
    <t>Impacts 2008 (acre-feet)</t>
  </si>
  <si>
    <r>
      <t xml:space="preserve">Need Information from Kansas </t>
    </r>
    <r>
      <rPr>
        <sz val="10"/>
        <color indexed="48"/>
        <rFont val="Arial"/>
        <family val="2"/>
      </rPr>
      <t xml:space="preserve">Information taken from USBR file </t>
    </r>
    <r>
      <rPr>
        <b/>
        <sz val="10"/>
        <color indexed="48"/>
        <rFont val="Arial"/>
        <family val="2"/>
      </rPr>
      <t>Tab2-08-09.xls (rec. 224)</t>
    </r>
  </si>
  <si>
    <t>Republican River Compact Administration</t>
  </si>
  <si>
    <t>This Republican River Compact Administration Groundwater Model update for 2008 represents no change in the programs and procedures from 2007.</t>
  </si>
  <si>
    <t>The reservoir end-of-month storage was updated from the Bureau of Reclamation (BOR) web site. The NCDC precipitation and temperature data were obtained from the NOAA web site.</t>
  </si>
  <si>
    <t>Table 5D: Nebraska's Compliance Under an Alternative Water-Short Year Administration Plan</t>
  </si>
  <si>
    <t>Year 6</t>
  </si>
  <si>
    <t>av2004:2008</t>
  </si>
  <si>
    <t>av2003:2007</t>
  </si>
  <si>
    <t>Table 4A: Colorado's Sub-Basin Non-impairment Compliance (avg 2004-2008)</t>
  </si>
  <si>
    <t>Table 4B: Kansas's Sub-Basin Non-impairment Compliance (avg 2004-2008)</t>
  </si>
  <si>
    <t>av2006:2007</t>
  </si>
  <si>
    <t>av2007:2008</t>
  </si>
  <si>
    <t>2-yr sum: Allocation - (CBCU - IWS above Guide Rock)</t>
  </si>
  <si>
    <t>(sum 2006:2007)</t>
  </si>
  <si>
    <t>(sum 2007:2008)</t>
  </si>
  <si>
    <t>(sum 2003:2007)</t>
  </si>
  <si>
    <t>sum from 2003: Allocation - (CBCU - IWS Credit)</t>
  </si>
  <si>
    <t>prepared by the State of Kansas (spp).</t>
  </si>
  <si>
    <t>KS reference: Fed_Net_Evap_dS_2007.xls</t>
  </si>
  <si>
    <t>NOTES:</t>
  </si>
  <si>
    <t>1. added 1 column at left and 4 rows at top to match sheet A in file 'cout wrk sht 08.xls' from BOR;</t>
  </si>
  <si>
    <t>2. modified formulas in cols. 11, 12 and 14 to set to zero when divisor is zero;</t>
  </si>
  <si>
    <t>3. copied ranges c19:e30 and h19:i30 from BOR source to this sheet.</t>
  </si>
  <si>
    <t>Data Source: cout wrk sht 08.XLS from the BOR plus for October, November and December values received from BOR in C07-dly.xls, C151-dly.xls and C348-dly.xls.</t>
  </si>
  <si>
    <t>NE 2008</t>
  </si>
  <si>
    <t>discrep</t>
  </si>
  <si>
    <t>use NE 2008</t>
  </si>
  <si>
    <t>(y)</t>
  </si>
  <si>
    <t>y</t>
  </si>
  <si>
    <t>Irrigation</t>
  </si>
  <si>
    <t>Accounting</t>
  </si>
  <si>
    <t>BASIN_NAME</t>
  </si>
  <si>
    <t>Recharge</t>
  </si>
  <si>
    <t>NetPump_af</t>
  </si>
  <si>
    <t>Input sheet cell</t>
  </si>
  <si>
    <t>BEAVER CREEK</t>
  </si>
  <si>
    <t>BIG CREEK</t>
  </si>
  <si>
    <t>N F SMOKY HILL RIVER</t>
  </si>
  <si>
    <t>N F SOLOMON RIVER</t>
  </si>
  <si>
    <t>PRAIRIE DOG CREEK</t>
  </si>
  <si>
    <t>c132</t>
  </si>
  <si>
    <t>REPUBLICAN RIVER</t>
  </si>
  <si>
    <t>c138</t>
  </si>
  <si>
    <t>S F REPUBLICAN RIVER</t>
  </si>
  <si>
    <t>S F SOLOMON RIVER</t>
  </si>
  <si>
    <t>SALINE RIVER</t>
  </si>
  <si>
    <t>SAPPA CREEK</t>
  </si>
  <si>
    <t>M&amp;I</t>
  </si>
  <si>
    <t>c133</t>
  </si>
  <si>
    <t>c245</t>
  </si>
  <si>
    <t>c246</t>
  </si>
  <si>
    <t>N</t>
  </si>
  <si>
    <t>(y or N)</t>
  </si>
  <si>
    <t>2007 value?</t>
  </si>
  <si>
    <t>* updated Attachment 7 for 2008 from NE version of Att. 7</t>
  </si>
  <si>
    <t>2007 Source of Data:</t>
  </si>
  <si>
    <t>2008 source:</t>
  </si>
  <si>
    <t>Substituted values from Nebraska's version of sheet Fed_Reservoir, cells b46 and c46.</t>
  </si>
  <si>
    <t>(sum 2004:2008)</t>
  </si>
  <si>
    <t>5-yr sums: Allocation - (CBCU - IWS Credit)</t>
  </si>
  <si>
    <t>Impacts 2008 (acre-feet): final</t>
  </si>
  <si>
    <t>Impacts 2008 (acre-feet):preliminary</t>
  </si>
  <si>
    <t>Impacts 2008 (acre-feet): final - preliminary</t>
  </si>
  <si>
    <t>Groundwater Model Update 2008 (August 7, 2009)</t>
  </si>
  <si>
    <t>The Colorado, Kansas and Nebraska data were provided by the States.</t>
  </si>
  <si>
    <t>evap: NetEvap sheet of ReservoirNetEvap07.xls, prepared by Nebraska;</t>
  </si>
  <si>
    <t>change in storage: Summary sheet of ResStorChange07.xls, also prepared by Nebraska.</t>
  </si>
  <si>
    <t>Sources:</t>
  </si>
  <si>
    <t xml:space="preserve"> Source: ranges b5:b12, c5:c12 and e5:e12 copied from corresponding ranges in sheet summary of file Fed_Net_Evap_2008_KS.xls,</t>
  </si>
  <si>
    <t>Subbasin</t>
  </si>
  <si>
    <t>Medicine C</t>
  </si>
  <si>
    <t>folder:</t>
  </si>
  <si>
    <t>I:\RRCA\EC\For2008\KS</t>
  </si>
  <si>
    <t>Documentation for file RRCA Accounting For 2008 with NE 5yr corrections_and_BOR_HC_evap_correction_spp.xls</t>
  </si>
  <si>
    <t>Guide Rock streamflow correction: should be for USGS gage 06853020.</t>
  </si>
  <si>
    <t>Nebraska reported 240,118 af, but this included NE DNR measurements for Oct-Dec taken at the "old gage", 06853000; see note by Guy Lindman, NE DNR,</t>
  </si>
  <si>
    <t>in Nebraska's file 2008 Nebraska Streamflow Records.xls, provided by NE in Apr 2009.</t>
  </si>
  <si>
    <t>When provisional data for correct gage 06853020 for Oct-Dec is substituted, corrected value for Guide Rock streamflow is 229,146 af.</t>
  </si>
  <si>
    <t>This change is reflected in Table 5c, where Nebraska's margin of compliance above Guide Rock for 2008 changes from 79,205 af to 73,840 af.</t>
  </si>
  <si>
    <t>(8) - (10)?</t>
  </si>
  <si>
    <t>--spp</t>
  </si>
  <si>
    <t>gw</t>
  </si>
  <si>
    <t>recharge:</t>
  </si>
  <si>
    <t>count</t>
  </si>
  <si>
    <t>sum use af</t>
  </si>
  <si>
    <t>canal</t>
  </si>
  <si>
    <t>Buffalo C-RR Dundy</t>
  </si>
  <si>
    <t>Franklin So.SidePump</t>
  </si>
  <si>
    <t>Frenchman ab Krotter</t>
  </si>
  <si>
    <t>Haigler-Pioneer</t>
  </si>
  <si>
    <t>Muddy C bl Swanson</t>
  </si>
  <si>
    <t>Platte R Canals</t>
  </si>
  <si>
    <t>Repub. R-Dundy</t>
  </si>
  <si>
    <t>So. Platte R</t>
  </si>
  <si>
    <t>deliveries (above)</t>
  </si>
  <si>
    <t>discrep fraction</t>
  </si>
  <si>
    <t>summary of sw_08_fin by canal and comparison with deliveries (above)</t>
  </si>
  <si>
    <t>partial sum</t>
  </si>
  <si>
    <t>gw recharge?</t>
  </si>
  <si>
    <t>Sam Perkins</t>
  </si>
  <si>
    <t>Corrected sheet Sappa cell b61 to be "=b29+b38+b52"; erroneous reference was "='T2'!d5" --spp</t>
  </si>
  <si>
    <t>from Nebraska's "DRAFT 2004-2008 Corrected Inputs RRCA Accounting Procedures.xls":</t>
  </si>
  <si>
    <t>discrep:</t>
  </si>
  <si>
    <t>discrepancies (KS version - NE version)</t>
  </si>
  <si>
    <t>renamed RRCA Accounting For 2008 KS version.xls 6/2/2010 spp</t>
  </si>
  <si>
    <t>hcao's updates</t>
  </si>
  <si>
    <t>MAINSTM: Cell B94 and B95</t>
  </si>
  <si>
    <t>INPUT: Cell C126, J155, J161, J164, J170, J173, J176, and J178</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</si>
</sst>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s>
  <fonts count="72">
    <font>
      <sz val="10"/>
      <name val="Arial"/>
      <family val="0"/>
    </font>
    <font>
      <u val="single"/>
      <sz val="10"/>
      <color indexed="36"/>
      <name val="Arial"/>
      <family val="2"/>
    </font>
    <font>
      <u val="single"/>
      <sz val="10"/>
      <color indexed="12"/>
      <name val="Arial"/>
      <family val="2"/>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57"/>
      <name val="Arial"/>
      <family val="2"/>
    </font>
    <font>
      <b/>
      <sz val="24"/>
      <name val="Arial"/>
      <family val="2"/>
    </font>
    <font>
      <b/>
      <sz val="10"/>
      <color indexed="8"/>
      <name val="Arial"/>
      <family val="2"/>
    </font>
    <font>
      <sz val="11"/>
      <name val="Arial MT"/>
      <family val="0"/>
    </font>
    <font>
      <b/>
      <sz val="11"/>
      <name val="Arial MT"/>
      <family val="0"/>
    </font>
    <font>
      <sz val="11"/>
      <name val="Arial"/>
      <family val="2"/>
    </font>
    <font>
      <b/>
      <sz val="16"/>
      <name val="Arial"/>
      <family val="2"/>
    </font>
    <font>
      <sz val="16"/>
      <name val="Arial"/>
      <family val="2"/>
    </font>
    <font>
      <b/>
      <i/>
      <sz val="10"/>
      <name val="Arial"/>
      <family val="2"/>
    </font>
    <font>
      <sz val="10"/>
      <color indexed="61"/>
      <name val="Arial"/>
      <family val="2"/>
    </font>
    <font>
      <sz val="10"/>
      <color indexed="8"/>
      <name val="Arial"/>
      <family val="2"/>
    </font>
    <font>
      <b/>
      <sz val="12"/>
      <name val="Times New Roman"/>
      <family val="1"/>
    </font>
    <font>
      <sz val="10"/>
      <color indexed="10"/>
      <name val="Arial"/>
      <family val="2"/>
    </font>
    <font>
      <sz val="14"/>
      <name val="Times New Roman"/>
      <family val="1"/>
    </font>
    <font>
      <b/>
      <sz val="14"/>
      <name val="Times New Roman"/>
      <family val="1"/>
    </font>
    <font>
      <b/>
      <sz val="18"/>
      <name val="Times New Roman"/>
      <family val="1"/>
    </font>
    <font>
      <b/>
      <sz val="16"/>
      <name val="Times New Roman"/>
      <family val="1"/>
    </font>
    <font>
      <sz val="12"/>
      <name val="Times New Roman"/>
      <family val="1"/>
    </font>
    <font>
      <sz val="10"/>
      <color indexed="12"/>
      <name val="Arial MT"/>
      <family val="0"/>
    </font>
    <font>
      <sz val="10"/>
      <name val="Arial MT"/>
      <family val="0"/>
    </font>
    <font>
      <sz val="10"/>
      <color indexed="48"/>
      <name val="Arial"/>
      <family val="2"/>
    </font>
    <font>
      <b/>
      <sz val="10"/>
      <color indexed="48"/>
      <name val="Arial"/>
      <family val="2"/>
    </font>
    <font>
      <sz val="11"/>
      <name val="Times New Roman"/>
      <family val="1"/>
    </font>
    <font>
      <i/>
      <sz val="10"/>
      <name val="Arial"/>
      <family val="2"/>
    </font>
    <font>
      <strike/>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double">
        <color indexed="8"/>
      </bottom>
    </border>
    <border>
      <left style="medium">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color indexed="63"/>
      </right>
      <top style="double">
        <color indexed="8"/>
      </top>
      <bottom>
        <color indexed="63"/>
      </bottom>
    </border>
    <border>
      <left style="medium">
        <color indexed="8"/>
      </left>
      <right>
        <color indexed="63"/>
      </right>
      <top style="double">
        <color indexed="8"/>
      </top>
      <bottom>
        <color indexed="63"/>
      </bottom>
    </border>
    <border>
      <left>
        <color indexed="63"/>
      </left>
      <right style="medium"/>
      <top>
        <color indexed="63"/>
      </top>
      <bottom style="mediu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medium">
        <color indexed="8"/>
      </left>
      <right>
        <color indexed="63"/>
      </right>
      <top style="thin"/>
      <bottom style="double"/>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bottom style="double"/>
    </border>
    <border>
      <left style="thin">
        <color indexed="8"/>
      </left>
      <right style="thin">
        <color indexed="8"/>
      </right>
      <top style="thin"/>
      <bottom style="double"/>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bottom style="double"/>
    </border>
    <border>
      <left style="thin"/>
      <right>
        <color indexed="63"/>
      </right>
      <top>
        <color indexed="63"/>
      </top>
      <bottom style="double"/>
    </border>
    <border>
      <left>
        <color indexed="63"/>
      </left>
      <right>
        <color indexed="63"/>
      </right>
      <top>
        <color indexed="63"/>
      </top>
      <bottom style="double"/>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54" fillId="0" borderId="0">
      <alignment/>
      <protection/>
    </xf>
    <xf numFmtId="0" fontId="5" fillId="0" borderId="0">
      <alignment/>
      <protection/>
    </xf>
    <xf numFmtId="0" fontId="2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7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164" fontId="0" fillId="0" borderId="10" xfId="63" applyNumberFormat="1" applyBorder="1" applyAlignment="1">
      <alignment/>
    </xf>
    <xf numFmtId="0" fontId="0" fillId="0" borderId="10" xfId="0" applyFont="1" applyBorder="1" applyAlignment="1">
      <alignmen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63"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ont="1" applyAlignment="1">
      <alignment/>
    </xf>
    <xf numFmtId="0" fontId="9" fillId="35" borderId="0" xfId="0" applyFont="1" applyFill="1" applyAlignment="1">
      <alignment/>
    </xf>
    <xf numFmtId="0" fontId="0" fillId="35" borderId="10" xfId="0" applyFont="1" applyFill="1" applyBorder="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0" fillId="0" borderId="10" xfId="0" applyFont="1" applyFill="1" applyBorder="1" applyAlignment="1">
      <alignment horizontal="left"/>
    </xf>
    <xf numFmtId="164" fontId="0" fillId="0" borderId="10" xfId="63" applyNumberFormat="1" applyFill="1" applyBorder="1" applyAlignment="1">
      <alignment/>
    </xf>
    <xf numFmtId="1" fontId="0" fillId="0" borderId="10" xfId="0" applyNumberFormat="1" applyFont="1" applyBorder="1" applyAlignment="1">
      <alignment/>
    </xf>
    <xf numFmtId="1" fontId="10" fillId="0" borderId="10" xfId="0" applyNumberFormat="1" applyFont="1" applyBorder="1" applyAlignment="1">
      <alignment/>
    </xf>
    <xf numFmtId="0" fontId="0" fillId="0" borderId="10" xfId="0" applyNumberFormat="1" applyFont="1" applyBorder="1" applyAlignment="1">
      <alignment horizontal="left"/>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20" xfId="0" applyBorder="1" applyAlignment="1">
      <alignment horizontal="left" wrapText="1"/>
    </xf>
    <xf numFmtId="0" fontId="3" fillId="0" borderId="20" xfId="0" applyFont="1" applyBorder="1" applyAlignment="1">
      <alignment horizontal="left" vertical="center" wrapText="1"/>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1" xfId="0" applyBorder="1" applyAlignment="1">
      <alignment horizontal="right"/>
    </xf>
    <xf numFmtId="0" fontId="0" fillId="0" borderId="22"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25" xfId="0" applyFont="1" applyBorder="1" applyAlignment="1">
      <alignment/>
    </xf>
    <xf numFmtId="0" fontId="12" fillId="0" borderId="10" xfId="0" applyFont="1" applyBorder="1" applyAlignment="1">
      <alignment/>
    </xf>
    <xf numFmtId="0" fontId="3" fillId="0" borderId="0" xfId="0" applyFont="1" applyAlignment="1" quotePrefix="1">
      <alignment/>
    </xf>
    <xf numFmtId="0" fontId="0" fillId="0" borderId="10" xfId="0" applyFont="1" applyFill="1" applyBorder="1" applyAlignment="1">
      <alignment/>
    </xf>
    <xf numFmtId="3" fontId="0" fillId="35" borderId="10" xfId="0" applyNumberForma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3"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3"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3" applyNumberFormat="1" applyFont="1" applyFill="1" applyBorder="1" applyAlignment="1">
      <alignment/>
    </xf>
    <xf numFmtId="1" fontId="5" fillId="0" borderId="10" xfId="0" applyNumberFormat="1" applyFont="1" applyFill="1" applyBorder="1" applyAlignment="1">
      <alignment/>
    </xf>
    <xf numFmtId="1" fontId="0" fillId="0" borderId="10" xfId="63" applyNumberFormat="1" applyFill="1" applyBorder="1" applyAlignment="1">
      <alignment/>
    </xf>
    <xf numFmtId="9" fontId="0" fillId="34" borderId="10" xfId="63"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Border="1" applyAlignment="1">
      <alignment/>
    </xf>
    <xf numFmtId="0" fontId="0" fillId="35" borderId="28" xfId="0" applyFill="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10" xfId="0" applyFill="1" applyBorder="1" applyAlignment="1">
      <alignment horizontal="left" wrapText="1"/>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29" xfId="0" applyBorder="1" applyAlignment="1">
      <alignment/>
    </xf>
    <xf numFmtId="0" fontId="0" fillId="0" borderId="30" xfId="0" applyBorder="1" applyAlignment="1">
      <alignment/>
    </xf>
    <xf numFmtId="0" fontId="0" fillId="0" borderId="30" xfId="0" applyFont="1" applyBorder="1" applyAlignment="1">
      <alignment/>
    </xf>
    <xf numFmtId="0" fontId="0" fillId="0" borderId="14" xfId="0" applyBorder="1" applyAlignment="1">
      <alignment/>
    </xf>
    <xf numFmtId="0" fontId="0" fillId="0" borderId="21" xfId="0" applyBorder="1" applyAlignment="1">
      <alignment/>
    </xf>
    <xf numFmtId="0" fontId="0" fillId="0" borderId="21" xfId="0" applyFont="1" applyBorder="1" applyAlignment="1">
      <alignment/>
    </xf>
    <xf numFmtId="3" fontId="0" fillId="0" borderId="13" xfId="0" applyNumberFormat="1" applyFont="1" applyBorder="1" applyAlignment="1">
      <alignment/>
    </xf>
    <xf numFmtId="0" fontId="0" fillId="0" borderId="27" xfId="0" applyFont="1" applyBorder="1" applyAlignment="1">
      <alignment/>
    </xf>
    <xf numFmtId="0" fontId="0" fillId="0" borderId="24"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5" xfId="0" applyFont="1" applyBorder="1" applyAlignment="1">
      <alignment/>
    </xf>
    <xf numFmtId="1" fontId="0" fillId="0" borderId="31" xfId="0" applyNumberFormat="1" applyBorder="1" applyAlignment="1">
      <alignment/>
    </xf>
    <xf numFmtId="1" fontId="0" fillId="0" borderId="22" xfId="0" applyNumberFormat="1" applyBorder="1" applyAlignment="1">
      <alignment/>
    </xf>
    <xf numFmtId="0" fontId="0" fillId="0" borderId="27" xfId="0" applyBorder="1" applyAlignment="1">
      <alignment/>
    </xf>
    <xf numFmtId="3" fontId="0" fillId="0" borderId="0" xfId="0" applyNumberFormat="1" applyFont="1" applyBorder="1" applyAlignment="1">
      <alignment/>
    </xf>
    <xf numFmtId="0" fontId="15" fillId="0" borderId="0" xfId="0" applyFont="1" applyAlignment="1">
      <alignment/>
    </xf>
    <xf numFmtId="0" fontId="15" fillId="0" borderId="0" xfId="0" applyFont="1" applyAlignment="1">
      <alignment/>
    </xf>
    <xf numFmtId="0" fontId="5"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7"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3" fontId="18" fillId="35" borderId="10" xfId="0" applyNumberFormat="1" applyFont="1" applyFill="1" applyBorder="1" applyAlignment="1">
      <alignment/>
    </xf>
    <xf numFmtId="3" fontId="18" fillId="0" borderId="10" xfId="0" applyNumberFormat="1" applyFont="1" applyFill="1" applyBorder="1" applyAlignment="1">
      <alignment/>
    </xf>
    <xf numFmtId="0" fontId="19" fillId="0" borderId="10" xfId="0" applyFont="1" applyFill="1" applyBorder="1" applyAlignment="1">
      <alignment vertical="center"/>
    </xf>
    <xf numFmtId="1" fontId="19" fillId="0" borderId="10" xfId="0" applyNumberFormat="1" applyFont="1" applyFill="1" applyBorder="1" applyAlignment="1">
      <alignment vertical="center"/>
    </xf>
    <xf numFmtId="9" fontId="19" fillId="0" borderId="10" xfId="0" applyNumberFormat="1" applyFont="1" applyFill="1" applyBorder="1" applyAlignment="1">
      <alignment vertical="center"/>
    </xf>
    <xf numFmtId="0" fontId="20" fillId="0" borderId="10" xfId="0" applyFont="1" applyBorder="1" applyAlignment="1">
      <alignment vertical="justify"/>
    </xf>
    <xf numFmtId="1" fontId="20" fillId="0" borderId="10" xfId="0" applyNumberFormat="1" applyFont="1" applyBorder="1" applyAlignment="1">
      <alignment/>
    </xf>
    <xf numFmtId="9" fontId="20" fillId="0" borderId="10" xfId="0" applyNumberFormat="1" applyFont="1" applyBorder="1" applyAlignment="1">
      <alignment/>
    </xf>
    <xf numFmtId="1" fontId="0" fillId="0" borderId="10" xfId="0" applyNumberFormat="1" applyFont="1" applyFill="1" applyBorder="1" applyAlignment="1">
      <alignment horizontal="right"/>
    </xf>
    <xf numFmtId="14" fontId="0" fillId="0" borderId="0" xfId="0" applyNumberFormat="1" applyAlignment="1">
      <alignment/>
    </xf>
    <xf numFmtId="9" fontId="0" fillId="35" borderId="10" xfId="0" applyNumberFormat="1" applyFill="1" applyBorder="1" applyAlignment="1">
      <alignment/>
    </xf>
    <xf numFmtId="0" fontId="21" fillId="0" borderId="0" xfId="0" applyFont="1" applyAlignment="1">
      <alignment/>
    </xf>
    <xf numFmtId="15" fontId="15" fillId="0" borderId="0" xfId="0" applyNumberFormat="1" applyFont="1" applyAlignment="1">
      <alignment horizontal="left"/>
    </xf>
    <xf numFmtId="0" fontId="0" fillId="35" borderId="0" xfId="0" applyFont="1" applyFill="1" applyAlignment="1">
      <alignment/>
    </xf>
    <xf numFmtId="3" fontId="0" fillId="0" borderId="0" xfId="0" applyNumberFormat="1" applyAlignment="1">
      <alignment horizontal="center" vertical="center" wrapText="1"/>
    </xf>
    <xf numFmtId="0" fontId="22" fillId="0" borderId="0" xfId="0" applyFont="1" applyAlignment="1">
      <alignment/>
    </xf>
    <xf numFmtId="0" fontId="0" fillId="0" borderId="0" xfId="0" applyFont="1" applyAlignment="1">
      <alignment/>
    </xf>
    <xf numFmtId="1" fontId="22" fillId="0" borderId="10" xfId="0" applyNumberFormat="1" applyFont="1" applyBorder="1" applyAlignment="1">
      <alignment horizontal="right"/>
    </xf>
    <xf numFmtId="1" fontId="22" fillId="0" borderId="10" xfId="0" applyNumberFormat="1" applyFont="1" applyBorder="1" applyAlignment="1">
      <alignment/>
    </xf>
    <xf numFmtId="1" fontId="22" fillId="0" borderId="10" xfId="0" applyNumberFormat="1" applyFont="1" applyFill="1" applyBorder="1" applyAlignment="1">
      <alignment/>
    </xf>
    <xf numFmtId="0" fontId="13" fillId="0" borderId="32" xfId="59" applyNumberFormat="1" applyFont="1" applyBorder="1" applyAlignment="1">
      <alignment/>
      <protection/>
    </xf>
    <xf numFmtId="0" fontId="13" fillId="0" borderId="0" xfId="59" applyNumberFormat="1" applyFont="1" applyAlignment="1">
      <alignment/>
      <protection/>
    </xf>
    <xf numFmtId="0" fontId="14" fillId="0" borderId="0" xfId="59" applyNumberFormat="1" applyFont="1" applyAlignment="1">
      <alignment horizontal="center"/>
      <protection/>
    </xf>
    <xf numFmtId="0" fontId="13" fillId="0" borderId="33" xfId="59" applyNumberFormat="1" applyFont="1" applyBorder="1" applyAlignment="1">
      <alignment horizontal="center"/>
      <protection/>
    </xf>
    <xf numFmtId="0" fontId="13" fillId="0" borderId="33" xfId="59" applyNumberFormat="1" applyFont="1" applyBorder="1" applyAlignment="1">
      <alignment/>
      <protection/>
    </xf>
    <xf numFmtId="0" fontId="13" fillId="0" borderId="33" xfId="59" applyNumberFormat="1" applyFont="1" applyBorder="1" applyAlignment="1" applyProtection="1">
      <alignment/>
      <protection locked="0"/>
    </xf>
    <xf numFmtId="0" fontId="13" fillId="0" borderId="34" xfId="59" applyNumberFormat="1" applyFont="1" applyBorder="1" applyAlignment="1">
      <alignment/>
      <protection/>
    </xf>
    <xf numFmtId="0" fontId="13" fillId="0" borderId="35" xfId="59" applyNumberFormat="1" applyFont="1" applyBorder="1" applyAlignment="1">
      <alignment horizontal="center"/>
      <protection/>
    </xf>
    <xf numFmtId="0" fontId="14" fillId="0" borderId="35" xfId="59" applyNumberFormat="1" applyFont="1" applyBorder="1" applyAlignment="1">
      <alignment horizontal="center"/>
      <protection/>
    </xf>
    <xf numFmtId="0" fontId="13" fillId="0" borderId="35" xfId="59" applyNumberFormat="1" applyFont="1" applyBorder="1" applyAlignment="1">
      <alignment/>
      <protection/>
    </xf>
    <xf numFmtId="0" fontId="13" fillId="0" borderId="36" xfId="59" applyNumberFormat="1" applyFont="1" applyBorder="1" applyAlignment="1" applyProtection="1">
      <alignment horizontal="center"/>
      <protection locked="0"/>
    </xf>
    <xf numFmtId="0" fontId="13" fillId="0" borderId="32" xfId="59" applyNumberFormat="1" applyFont="1" applyBorder="1" applyAlignment="1" applyProtection="1">
      <alignment/>
      <protection locked="0"/>
    </xf>
    <xf numFmtId="0" fontId="13" fillId="0" borderId="37" xfId="59" applyNumberFormat="1" applyFont="1" applyBorder="1" applyAlignment="1">
      <alignment/>
      <protection/>
    </xf>
    <xf numFmtId="0" fontId="13" fillId="0" borderId="0" xfId="59" applyNumberFormat="1" applyFont="1" applyAlignment="1">
      <alignment horizontal="center"/>
      <protection/>
    </xf>
    <xf numFmtId="0" fontId="13" fillId="0" borderId="37" xfId="59" applyNumberFormat="1" applyFont="1" applyBorder="1" applyAlignment="1" applyProtection="1">
      <alignment horizontal="center"/>
      <protection locked="0"/>
    </xf>
    <xf numFmtId="0" fontId="13" fillId="0" borderId="32" xfId="59" applyNumberFormat="1" applyFont="1" applyBorder="1" applyAlignment="1">
      <alignment horizontal="center"/>
      <protection/>
    </xf>
    <xf numFmtId="0" fontId="13" fillId="0" borderId="34" xfId="59" applyNumberFormat="1" applyFont="1" applyBorder="1" applyAlignment="1">
      <alignment horizontal="center"/>
      <protection/>
    </xf>
    <xf numFmtId="0" fontId="13" fillId="0" borderId="38" xfId="59" applyNumberFormat="1" applyFont="1" applyBorder="1" applyAlignment="1">
      <alignment horizontal="center"/>
      <protection/>
    </xf>
    <xf numFmtId="0" fontId="13" fillId="0" borderId="38" xfId="59" applyNumberFormat="1" applyFont="1" applyBorder="1" applyAlignment="1">
      <alignment/>
      <protection/>
    </xf>
    <xf numFmtId="0" fontId="13" fillId="0" borderId="37" xfId="59" applyNumberFormat="1" applyFont="1" applyBorder="1" applyAlignment="1">
      <alignment horizontal="center"/>
      <protection/>
    </xf>
    <xf numFmtId="0" fontId="13" fillId="0" borderId="37" xfId="59" applyNumberFormat="1" applyFont="1" applyBorder="1" applyAlignment="1" applyProtection="1">
      <alignment/>
      <protection locked="0"/>
    </xf>
    <xf numFmtId="0" fontId="13" fillId="0" borderId="33" xfId="59" applyNumberFormat="1" applyFont="1" applyBorder="1" applyAlignment="1" applyProtection="1">
      <alignment horizontal="center"/>
      <protection locked="0"/>
    </xf>
    <xf numFmtId="0" fontId="13" fillId="0" borderId="39" xfId="59" applyNumberFormat="1" applyFont="1" applyBorder="1" applyAlignment="1" applyProtection="1">
      <alignment horizontal="center"/>
      <protection locked="0"/>
    </xf>
    <xf numFmtId="0" fontId="13" fillId="0" borderId="40" xfId="59" applyNumberFormat="1" applyFont="1" applyBorder="1" applyAlignment="1" applyProtection="1">
      <alignment horizontal="center"/>
      <protection locked="0"/>
    </xf>
    <xf numFmtId="0" fontId="13" fillId="0" borderId="41" xfId="59" applyNumberFormat="1" applyFont="1" applyBorder="1" applyAlignment="1" applyProtection="1">
      <alignment horizontal="center"/>
      <protection locked="0"/>
    </xf>
    <xf numFmtId="0" fontId="13" fillId="0" borderId="42" xfId="59" applyNumberFormat="1" applyFont="1" applyBorder="1" applyAlignment="1">
      <alignment horizontal="center"/>
      <protection/>
    </xf>
    <xf numFmtId="0" fontId="13" fillId="0" borderId="42" xfId="59" applyFont="1" applyBorder="1" applyAlignment="1">
      <alignment/>
      <protection/>
    </xf>
    <xf numFmtId="0" fontId="13" fillId="0" borderId="36" xfId="59" applyFont="1" applyBorder="1" applyAlignment="1">
      <alignment/>
      <protection/>
    </xf>
    <xf numFmtId="0" fontId="13" fillId="0" borderId="33" xfId="59" applyFont="1" applyBorder="1" applyAlignment="1">
      <alignment/>
      <protection/>
    </xf>
    <xf numFmtId="0" fontId="13" fillId="0" borderId="32" xfId="59" applyFont="1" applyBorder="1" applyAlignment="1">
      <alignment/>
      <protection/>
    </xf>
    <xf numFmtId="0" fontId="13" fillId="0" borderId="43" xfId="59" applyFont="1" applyBorder="1" applyAlignment="1">
      <alignment/>
      <protection/>
    </xf>
    <xf numFmtId="0" fontId="13" fillId="0" borderId="33" xfId="59" applyFont="1" applyBorder="1" applyAlignment="1">
      <alignment horizontal="center"/>
      <protection/>
    </xf>
    <xf numFmtId="0" fontId="0" fillId="0" borderId="20" xfId="0" applyBorder="1" applyAlignment="1">
      <alignment horizontal="right" wrapText="1"/>
    </xf>
    <xf numFmtId="0" fontId="3" fillId="0" borderId="20" xfId="0" applyFont="1" applyBorder="1" applyAlignment="1">
      <alignment horizontal="center" vertical="center" wrapText="1"/>
    </xf>
    <xf numFmtId="38" fontId="0" fillId="0" borderId="10" xfId="0" applyNumberFormat="1" applyBorder="1" applyAlignment="1">
      <alignment horizontal="center" vertical="center" wrapText="1"/>
    </xf>
    <xf numFmtId="3" fontId="0" fillId="0" borderId="10" xfId="0" applyNumberFormat="1" applyFont="1" applyFill="1" applyBorder="1" applyAlignment="1">
      <alignment/>
    </xf>
    <xf numFmtId="38" fontId="0" fillId="0" borderId="13" xfId="0" applyNumberFormat="1" applyBorder="1" applyAlignment="1">
      <alignment horizontal="center" vertical="center" wrapText="1"/>
    </xf>
    <xf numFmtId="38" fontId="0" fillId="0" borderId="15" xfId="0" applyNumberFormat="1" applyBorder="1" applyAlignment="1">
      <alignment horizontal="center" vertical="center" wrapText="1"/>
    </xf>
    <xf numFmtId="0" fontId="0" fillId="0" borderId="0" xfId="0" applyAlignment="1">
      <alignment horizontal="center" wrapText="1"/>
    </xf>
    <xf numFmtId="3" fontId="0" fillId="0" borderId="0" xfId="0" applyNumberFormat="1" applyAlignment="1">
      <alignment horizontal="center" wrapText="1"/>
    </xf>
    <xf numFmtId="3" fontId="0" fillId="35" borderId="10" xfId="0" applyNumberFormat="1" applyFont="1" applyFill="1" applyBorder="1" applyAlignment="1">
      <alignment/>
    </xf>
    <xf numFmtId="0" fontId="23" fillId="0" borderId="0" xfId="0" applyFont="1" applyAlignment="1">
      <alignment/>
    </xf>
    <xf numFmtId="0" fontId="23" fillId="0" borderId="0" xfId="0" applyFont="1" applyAlignment="1">
      <alignment horizontal="center"/>
    </xf>
    <xf numFmtId="0" fontId="23" fillId="0" borderId="25" xfId="0" applyFont="1" applyBorder="1" applyAlignment="1">
      <alignment horizontal="center"/>
    </xf>
    <xf numFmtId="0" fontId="23" fillId="0" borderId="27" xfId="0" applyFont="1" applyBorder="1" applyAlignment="1">
      <alignment horizontal="center"/>
    </xf>
    <xf numFmtId="0" fontId="23" fillId="0" borderId="29" xfId="0" applyFont="1" applyBorder="1" applyAlignment="1">
      <alignment/>
    </xf>
    <xf numFmtId="0" fontId="27" fillId="0" borderId="0" xfId="0" applyFont="1" applyFill="1" applyBorder="1" applyAlignment="1">
      <alignment horizontal="right"/>
    </xf>
    <xf numFmtId="0" fontId="0" fillId="36" borderId="23" xfId="0" applyFill="1" applyBorder="1" applyAlignment="1">
      <alignment/>
    </xf>
    <xf numFmtId="0" fontId="0" fillId="36" borderId="24" xfId="0" applyFill="1" applyBorder="1" applyAlignment="1">
      <alignment/>
    </xf>
    <xf numFmtId="0" fontId="0" fillId="36" borderId="25" xfId="0" applyFill="1" applyBorder="1" applyAlignment="1">
      <alignment/>
    </xf>
    <xf numFmtId="0" fontId="0" fillId="36" borderId="26" xfId="0" applyFill="1" applyBorder="1" applyAlignment="1">
      <alignment/>
    </xf>
    <xf numFmtId="0" fontId="0" fillId="36" borderId="0" xfId="0" applyFill="1" applyBorder="1" applyAlignment="1">
      <alignment/>
    </xf>
    <xf numFmtId="0" fontId="0" fillId="36" borderId="27" xfId="0" applyFill="1" applyBorder="1" applyAlignment="1">
      <alignment/>
    </xf>
    <xf numFmtId="10" fontId="0" fillId="36" borderId="30" xfId="0" applyNumberFormat="1" applyFill="1" applyBorder="1" applyAlignment="1">
      <alignment/>
    </xf>
    <xf numFmtId="14" fontId="0" fillId="0" borderId="0" xfId="0" applyNumberFormat="1" applyFont="1" applyAlignment="1">
      <alignment/>
    </xf>
    <xf numFmtId="0" fontId="4" fillId="0" borderId="0" xfId="0" applyFont="1" applyAlignment="1">
      <alignment horizontal="left"/>
    </xf>
    <xf numFmtId="0" fontId="0" fillId="0" borderId="0" xfId="0" applyAlignment="1" quotePrefix="1">
      <alignment/>
    </xf>
    <xf numFmtId="38" fontId="0" fillId="0" borderId="0" xfId="0" applyNumberFormat="1" applyAlignment="1">
      <alignment/>
    </xf>
    <xf numFmtId="0" fontId="0" fillId="0" borderId="0" xfId="0" applyFont="1" applyFill="1" applyBorder="1" applyAlignment="1">
      <alignment/>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Alignment="1">
      <alignment horizontal="center"/>
    </xf>
    <xf numFmtId="0" fontId="3" fillId="0" borderId="10" xfId="0" applyFont="1" applyBorder="1" applyAlignment="1">
      <alignment horizontal="center" vertical="center"/>
    </xf>
    <xf numFmtId="9" fontId="0" fillId="0" borderId="0" xfId="63" applyFont="1" applyAlignment="1">
      <alignment/>
    </xf>
    <xf numFmtId="3" fontId="0" fillId="0" borderId="10" xfId="0" applyNumberFormat="1" applyFill="1" applyBorder="1" applyAlignment="1">
      <alignment horizontal="center" vertical="center" wrapText="1"/>
    </xf>
    <xf numFmtId="38" fontId="0" fillId="0" borderId="10" xfId="0" applyNumberFormat="1" applyFill="1" applyBorder="1" applyAlignment="1">
      <alignment horizontal="center" vertical="center" wrapText="1"/>
    </xf>
    <xf numFmtId="38" fontId="0" fillId="0" borderId="10" xfId="0" applyNumberFormat="1" applyBorder="1" applyAlignment="1">
      <alignment horizontal="center" vertical="center"/>
    </xf>
    <xf numFmtId="38" fontId="0" fillId="0" borderId="12" xfId="0" applyNumberFormat="1" applyBorder="1" applyAlignment="1">
      <alignment horizontal="center" vertical="center"/>
    </xf>
    <xf numFmtId="38" fontId="0" fillId="0" borderId="13" xfId="0" applyNumberFormat="1" applyBorder="1" applyAlignment="1">
      <alignment horizontal="center" vertical="center"/>
    </xf>
    <xf numFmtId="14" fontId="0" fillId="0" borderId="0" xfId="0" applyNumberFormat="1" applyFont="1" applyAlignment="1">
      <alignment/>
    </xf>
    <xf numFmtId="0" fontId="22" fillId="35" borderId="10" xfId="0" applyFont="1" applyFill="1" applyBorder="1" applyAlignment="1">
      <alignment/>
    </xf>
    <xf numFmtId="0" fontId="22" fillId="0" borderId="14" xfId="0" applyFont="1" applyBorder="1" applyAlignment="1">
      <alignment/>
    </xf>
    <xf numFmtId="3" fontId="22" fillId="0" borderId="10" xfId="0" applyNumberFormat="1" applyFont="1" applyBorder="1" applyAlignment="1">
      <alignment/>
    </xf>
    <xf numFmtId="3" fontId="22" fillId="0" borderId="10" xfId="0" applyNumberFormat="1" applyFont="1" applyBorder="1" applyAlignment="1">
      <alignment horizontal="center"/>
    </xf>
    <xf numFmtId="3" fontId="6" fillId="0" borderId="13" xfId="0" applyNumberFormat="1"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Border="1" applyAlignment="1">
      <alignment/>
    </xf>
    <xf numFmtId="0" fontId="3" fillId="0" borderId="0" xfId="0" applyFont="1" applyBorder="1" applyAlignment="1">
      <alignment horizontal="left"/>
    </xf>
    <xf numFmtId="2" fontId="0" fillId="0" borderId="0" xfId="0" applyNumberFormat="1" applyAlignment="1">
      <alignment/>
    </xf>
    <xf numFmtId="10" fontId="0" fillId="0" borderId="0" xfId="0" applyNumberFormat="1" applyAlignment="1">
      <alignment/>
    </xf>
    <xf numFmtId="0" fontId="23" fillId="0" borderId="24" xfId="0" applyFont="1" applyBorder="1" applyAlignment="1">
      <alignment horizontal="center"/>
    </xf>
    <xf numFmtId="0" fontId="23" fillId="0" borderId="0" xfId="0" applyFont="1" applyBorder="1" applyAlignment="1">
      <alignment horizontal="center"/>
    </xf>
    <xf numFmtId="0" fontId="0" fillId="0" borderId="44" xfId="0" applyBorder="1" applyAlignment="1">
      <alignment/>
    </xf>
    <xf numFmtId="10" fontId="0" fillId="35" borderId="10" xfId="0" applyNumberFormat="1" applyFill="1" applyBorder="1" applyAlignment="1">
      <alignment/>
    </xf>
    <xf numFmtId="4" fontId="0" fillId="0" borderId="0" xfId="0" applyNumberFormat="1" applyAlignment="1">
      <alignment/>
    </xf>
    <xf numFmtId="1" fontId="0" fillId="0" borderId="0" xfId="0" applyNumberFormat="1" applyAlignment="1">
      <alignment/>
    </xf>
    <xf numFmtId="1" fontId="13" fillId="0" borderId="33" xfId="59" applyNumberFormat="1" applyFont="1" applyBorder="1" applyAlignment="1">
      <alignment/>
      <protection/>
    </xf>
    <xf numFmtId="3" fontId="0" fillId="0" borderId="0" xfId="0" applyNumberFormat="1" applyAlignment="1">
      <alignment wrapText="1"/>
    </xf>
    <xf numFmtId="1" fontId="0" fillId="0" borderId="0" xfId="0" applyNumberFormat="1" applyFill="1" applyAlignment="1">
      <alignment/>
    </xf>
    <xf numFmtId="1" fontId="15" fillId="0" borderId="0" xfId="0" applyNumberFormat="1" applyFont="1" applyAlignment="1">
      <alignment/>
    </xf>
    <xf numFmtId="1" fontId="13" fillId="0" borderId="32" xfId="59" applyNumberFormat="1" applyFont="1" applyBorder="1" applyAlignment="1">
      <alignment/>
      <protection/>
    </xf>
    <xf numFmtId="0" fontId="13" fillId="0" borderId="45" xfId="59" applyNumberFormat="1" applyFont="1" applyBorder="1" applyAlignment="1" applyProtection="1">
      <alignment horizontal="center"/>
      <protection locked="0"/>
    </xf>
    <xf numFmtId="0" fontId="13" fillId="0" borderId="46" xfId="59" applyNumberFormat="1" applyFont="1" applyBorder="1" applyAlignment="1" applyProtection="1">
      <alignment horizontal="center"/>
      <protection locked="0"/>
    </xf>
    <xf numFmtId="0" fontId="13" fillId="0" borderId="37" xfId="59" applyFont="1" applyBorder="1" applyAlignment="1">
      <alignment/>
      <protection/>
    </xf>
    <xf numFmtId="1" fontId="0" fillId="35" borderId="10" xfId="0" applyNumberFormat="1" applyFill="1" applyBorder="1" applyAlignment="1">
      <alignment/>
    </xf>
    <xf numFmtId="9" fontId="0" fillId="0" borderId="10" xfId="0" applyNumberFormat="1" applyFill="1" applyBorder="1" applyAlignment="1">
      <alignment/>
    </xf>
    <xf numFmtId="10" fontId="0" fillId="35" borderId="10" xfId="63" applyNumberFormat="1" applyFont="1" applyFill="1" applyBorder="1" applyAlignment="1">
      <alignment/>
    </xf>
    <xf numFmtId="0" fontId="6" fillId="0" borderId="26" xfId="0" applyFont="1" applyFill="1" applyBorder="1" applyAlignment="1">
      <alignment horizontal="center"/>
    </xf>
    <xf numFmtId="38" fontId="0" fillId="0" borderId="0" xfId="0" applyNumberFormat="1" applyFill="1" applyAlignment="1">
      <alignment/>
    </xf>
    <xf numFmtId="3" fontId="0" fillId="0" borderId="0" xfId="0" applyNumberFormat="1" applyFill="1" applyAlignment="1">
      <alignment/>
    </xf>
    <xf numFmtId="0" fontId="0" fillId="0" borderId="14" xfId="0" applyBorder="1" applyAlignment="1">
      <alignment horizontal="center" wrapText="1"/>
    </xf>
    <xf numFmtId="0" fontId="0" fillId="0" borderId="0" xfId="0" applyBorder="1" applyAlignment="1">
      <alignment horizontal="center" wrapText="1"/>
    </xf>
    <xf numFmtId="3" fontId="0" fillId="0" borderId="28" xfId="0" applyNumberFormat="1" applyBorder="1" applyAlignment="1">
      <alignment horizontal="center" vertical="center"/>
    </xf>
    <xf numFmtId="38" fontId="0" fillId="0" borderId="10" xfId="0" applyNumberFormat="1" applyBorder="1" applyAlignment="1">
      <alignment horizontal="center"/>
    </xf>
    <xf numFmtId="1" fontId="13" fillId="0" borderId="42" xfId="59" applyNumberFormat="1" applyFont="1" applyBorder="1" applyAlignment="1">
      <alignment/>
      <protection/>
    </xf>
    <xf numFmtId="1" fontId="13" fillId="0" borderId="10" xfId="59" applyNumberFormat="1" applyFont="1" applyBorder="1" applyAlignment="1">
      <alignment/>
      <protection/>
    </xf>
    <xf numFmtId="0" fontId="13" fillId="0" borderId="10" xfId="59" applyFont="1" applyBorder="1" applyAlignment="1">
      <alignment/>
      <protection/>
    </xf>
    <xf numFmtId="1" fontId="13" fillId="0" borderId="13" xfId="59" applyNumberFormat="1" applyFont="1" applyBorder="1" applyAlignment="1">
      <alignment/>
      <protection/>
    </xf>
    <xf numFmtId="0" fontId="13" fillId="0" borderId="47" xfId="59" applyNumberFormat="1" applyFont="1" applyBorder="1" applyAlignment="1" applyProtection="1">
      <alignment/>
      <protection locked="0"/>
    </xf>
    <xf numFmtId="1" fontId="13" fillId="0" borderId="0" xfId="59" applyNumberFormat="1" applyFont="1" applyBorder="1" applyAlignment="1">
      <alignment/>
      <protection/>
    </xf>
    <xf numFmtId="1" fontId="13" fillId="0" borderId="48" xfId="59" applyNumberFormat="1" applyFont="1" applyBorder="1" applyAlignment="1">
      <alignment/>
      <protection/>
    </xf>
    <xf numFmtId="0" fontId="28" fillId="0" borderId="10" xfId="0" applyFont="1" applyBorder="1" applyAlignment="1">
      <alignment/>
    </xf>
    <xf numFmtId="0" fontId="13" fillId="0" borderId="49" xfId="59" applyFont="1" applyBorder="1" applyAlignment="1">
      <alignment/>
      <protection/>
    </xf>
    <xf numFmtId="0" fontId="28" fillId="0" borderId="13" xfId="0" applyFont="1" applyBorder="1" applyAlignment="1">
      <alignment/>
    </xf>
    <xf numFmtId="0" fontId="13" fillId="0" borderId="50" xfId="59" applyNumberFormat="1" applyFont="1" applyBorder="1" applyAlignment="1" applyProtection="1">
      <alignment horizontal="center"/>
      <protection locked="0"/>
    </xf>
    <xf numFmtId="0" fontId="13" fillId="0" borderId="51" xfId="59" applyNumberFormat="1" applyFont="1" applyBorder="1" applyAlignment="1" applyProtection="1">
      <alignment horizontal="center"/>
      <protection locked="0"/>
    </xf>
    <xf numFmtId="1" fontId="13" fillId="0" borderId="52" xfId="59" applyNumberFormat="1" applyFont="1" applyBorder="1" applyAlignment="1">
      <alignment/>
      <protection/>
    </xf>
    <xf numFmtId="1" fontId="13" fillId="0" borderId="53" xfId="59" applyNumberFormat="1" applyFont="1" applyBorder="1" applyAlignment="1">
      <alignment/>
      <protection/>
    </xf>
    <xf numFmtId="0" fontId="29" fillId="0" borderId="10" xfId="0" applyFont="1" applyBorder="1" applyAlignment="1">
      <alignment/>
    </xf>
    <xf numFmtId="0" fontId="29" fillId="0" borderId="13" xfId="0" applyFont="1" applyBorder="1" applyAlignment="1">
      <alignment/>
    </xf>
    <xf numFmtId="0" fontId="13" fillId="0" borderId="47" xfId="59" applyNumberFormat="1" applyFont="1" applyBorder="1" applyAlignment="1" applyProtection="1">
      <alignment horizontal="center"/>
      <protection locked="0"/>
    </xf>
    <xf numFmtId="0" fontId="13" fillId="0" borderId="54" xfId="59" applyNumberFormat="1" applyFont="1" applyBorder="1" applyAlignment="1" applyProtection="1">
      <alignment horizontal="center"/>
      <protection locked="0"/>
    </xf>
    <xf numFmtId="1" fontId="3" fillId="35" borderId="10"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left" wrapText="1"/>
    </xf>
    <xf numFmtId="0" fontId="0" fillId="0" borderId="0" xfId="0" applyFill="1" applyBorder="1" applyAlignment="1">
      <alignment horizontal="right" wrapText="1"/>
    </xf>
    <xf numFmtId="0" fontId="3" fillId="0" borderId="0"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11" fillId="0" borderId="0" xfId="0" applyFont="1" applyFill="1" applyBorder="1" applyAlignment="1">
      <alignment vertical="center" wrapText="1"/>
    </xf>
    <xf numFmtId="16" fontId="0" fillId="0" borderId="0" xfId="0" applyNumberFormat="1" applyFont="1" applyAlignment="1">
      <alignment/>
    </xf>
    <xf numFmtId="0" fontId="22" fillId="0" borderId="0" xfId="0" applyFont="1" applyFill="1" applyAlignment="1">
      <alignment/>
    </xf>
    <xf numFmtId="3" fontId="0" fillId="37" borderId="10" xfId="0" applyNumberFormat="1" applyFont="1" applyFill="1" applyBorder="1" applyAlignment="1">
      <alignment/>
    </xf>
    <xf numFmtId="9" fontId="0" fillId="37" borderId="10" xfId="0" applyNumberFormat="1" applyFill="1" applyBorder="1" applyAlignment="1">
      <alignment/>
    </xf>
    <xf numFmtId="0" fontId="0" fillId="37" borderId="10" xfId="0" applyFont="1" applyFill="1" applyBorder="1" applyAlignment="1">
      <alignment/>
    </xf>
    <xf numFmtId="0" fontId="0" fillId="37" borderId="10" xfId="0" applyFont="1" applyFill="1" applyBorder="1" applyAlignment="1">
      <alignment/>
    </xf>
    <xf numFmtId="0" fontId="0" fillId="0" borderId="20" xfId="0" applyFont="1" applyBorder="1" applyAlignment="1">
      <alignment horizontal="right" wrapText="1"/>
    </xf>
    <xf numFmtId="0" fontId="3" fillId="0" borderId="20" xfId="0" applyFont="1" applyBorder="1" applyAlignment="1">
      <alignment horizontal="center" vertical="center" wrapText="1"/>
    </xf>
    <xf numFmtId="0" fontId="0" fillId="0" borderId="0" xfId="0" applyFont="1" applyAlignment="1">
      <alignment horizontal="left"/>
    </xf>
    <xf numFmtId="38" fontId="0" fillId="0" borderId="0" xfId="0" applyNumberFormat="1" applyBorder="1" applyAlignment="1">
      <alignment horizontal="center" vertical="center" wrapText="1"/>
    </xf>
    <xf numFmtId="3" fontId="0" fillId="0" borderId="0" xfId="0" applyNumberFormat="1" applyBorder="1" applyAlignment="1">
      <alignment horizontal="center" vertical="center" wrapText="1"/>
    </xf>
    <xf numFmtId="0" fontId="0" fillId="0" borderId="10" xfId="0" applyFont="1" applyBorder="1" applyAlignment="1">
      <alignment horizontal="center" vertical="center"/>
    </xf>
    <xf numFmtId="3" fontId="0" fillId="0" borderId="55" xfId="0" applyNumberFormat="1" applyBorder="1" applyAlignment="1">
      <alignment/>
    </xf>
    <xf numFmtId="3" fontId="0" fillId="0" borderId="56" xfId="0" applyNumberFormat="1" applyBorder="1" applyAlignment="1">
      <alignment/>
    </xf>
    <xf numFmtId="0" fontId="0" fillId="0" borderId="56" xfId="0" applyBorder="1" applyAlignment="1">
      <alignment horizontal="center"/>
    </xf>
    <xf numFmtId="38" fontId="0" fillId="0" borderId="56" xfId="0" applyNumberFormat="1" applyBorder="1" applyAlignment="1">
      <alignment/>
    </xf>
    <xf numFmtId="0" fontId="0" fillId="0" borderId="13" xfId="0" applyFont="1" applyBorder="1" applyAlignment="1">
      <alignment horizontal="center" vertical="center"/>
    </xf>
    <xf numFmtId="0" fontId="0" fillId="0" borderId="28" xfId="0" applyFont="1" applyFill="1" applyBorder="1" applyAlignment="1">
      <alignment horizontal="center" wrapText="1"/>
    </xf>
    <xf numFmtId="3" fontId="0" fillId="0" borderId="0" xfId="0" applyNumberFormat="1" applyAlignment="1">
      <alignment horizontal="center"/>
    </xf>
    <xf numFmtId="3" fontId="22" fillId="0" borderId="0" xfId="0" applyNumberFormat="1" applyFont="1" applyAlignment="1">
      <alignment horizontal="center"/>
    </xf>
    <xf numFmtId="0" fontId="0" fillId="0" borderId="0" xfId="0" applyFont="1" applyAlignment="1" quotePrefix="1">
      <alignment/>
    </xf>
    <xf numFmtId="0" fontId="0" fillId="0" borderId="0" xfId="0" applyBorder="1" applyAlignment="1">
      <alignment horizontal="center" vertical="center" wrapText="1"/>
    </xf>
    <xf numFmtId="0" fontId="0" fillId="0" borderId="14" xfId="0" applyFont="1" applyBorder="1" applyAlignment="1">
      <alignment horizontal="center" wrapText="1"/>
    </xf>
    <xf numFmtId="0" fontId="0" fillId="0" borderId="0" xfId="0" applyFont="1" applyBorder="1" applyAlignment="1">
      <alignment horizontal="center" wrapText="1"/>
    </xf>
    <xf numFmtId="0" fontId="0" fillId="0" borderId="0" xfId="0" applyBorder="1" applyAlignment="1">
      <alignment wrapText="1"/>
    </xf>
    <xf numFmtId="3" fontId="0" fillId="0" borderId="0" xfId="0" applyNumberFormat="1" applyFont="1" applyBorder="1" applyAlignment="1" quotePrefix="1">
      <alignment horizontal="left"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Border="1" applyAlignment="1">
      <alignment horizontal="center" vertical="center" wrapText="1"/>
    </xf>
    <xf numFmtId="3" fontId="0" fillId="0" borderId="12" xfId="0" applyNumberFormat="1" applyFill="1" applyBorder="1" applyAlignment="1">
      <alignment horizontal="center" vertical="center" wrapText="1"/>
    </xf>
    <xf numFmtId="38" fontId="0" fillId="0" borderId="12" xfId="0" applyNumberFormat="1" applyFill="1" applyBorder="1" applyAlignment="1">
      <alignment horizontal="center" vertical="center" wrapText="1"/>
    </xf>
    <xf numFmtId="0" fontId="3" fillId="0" borderId="0" xfId="0" applyFont="1" applyBorder="1" applyAlignment="1">
      <alignment horizontal="left" wrapText="1"/>
    </xf>
    <xf numFmtId="0" fontId="32" fillId="0" borderId="0" xfId="0" applyFont="1" applyFill="1" applyBorder="1" applyAlignment="1">
      <alignment/>
    </xf>
    <xf numFmtId="0" fontId="28" fillId="0" borderId="42" xfId="0" applyFont="1" applyBorder="1" applyAlignment="1">
      <alignment/>
    </xf>
    <xf numFmtId="0" fontId="28" fillId="0" borderId="33" xfId="0" applyFont="1" applyBorder="1" applyAlignment="1">
      <alignment/>
    </xf>
    <xf numFmtId="0" fontId="29" fillId="36" borderId="13" xfId="0" applyFont="1" applyFill="1" applyBorder="1" applyAlignment="1">
      <alignment/>
    </xf>
    <xf numFmtId="38" fontId="33" fillId="0" borderId="0"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9" fontId="0" fillId="0" borderId="0" xfId="0" applyNumberFormat="1" applyFont="1" applyFill="1" applyBorder="1" applyAlignment="1" applyProtection="1">
      <alignment/>
      <protection/>
    </xf>
    <xf numFmtId="38" fontId="0" fillId="0" borderId="0" xfId="60" applyNumberFormat="1" applyFont="1" applyFill="1" applyBorder="1" applyAlignment="1" applyProtection="1">
      <alignment horizontal="right" wrapText="1"/>
      <protection/>
    </xf>
    <xf numFmtId="38" fontId="34" fillId="0" borderId="0" xfId="0" applyNumberFormat="1" applyFont="1" applyFill="1" applyBorder="1" applyAlignment="1" applyProtection="1">
      <alignment/>
      <protection/>
    </xf>
    <xf numFmtId="9" fontId="0" fillId="0" borderId="0" xfId="63" applyFont="1" applyFill="1" applyBorder="1" applyAlignment="1" applyProtection="1">
      <alignment/>
      <protection/>
    </xf>
    <xf numFmtId="38" fontId="0" fillId="0" borderId="0" xfId="63" applyNumberFormat="1" applyFont="1" applyFill="1" applyBorder="1" applyAlignment="1" applyProtection="1">
      <alignment/>
      <protection/>
    </xf>
    <xf numFmtId="9" fontId="33" fillId="0" borderId="0" xfId="0" applyNumberFormat="1" applyFont="1" applyFill="1" applyBorder="1" applyAlignment="1" applyProtection="1">
      <alignment/>
      <protection/>
    </xf>
    <xf numFmtId="2" fontId="0" fillId="0" borderId="0" xfId="0" applyNumberFormat="1" applyFont="1" applyFill="1" applyBorder="1" applyAlignment="1" applyProtection="1">
      <alignment/>
      <protection/>
    </xf>
    <xf numFmtId="0" fontId="3" fillId="0" borderId="0" xfId="0" applyFont="1" applyAlignment="1">
      <alignment horizontal="center"/>
    </xf>
    <xf numFmtId="0" fontId="3" fillId="0" borderId="0" xfId="0" applyFont="1" applyAlignment="1" quotePrefix="1">
      <alignment horizontal="center"/>
    </xf>
    <xf numFmtId="3" fontId="3" fillId="0" borderId="0" xfId="0" applyNumberFormat="1" applyFont="1" applyFill="1" applyAlignment="1">
      <alignment horizontal="center"/>
    </xf>
    <xf numFmtId="3" fontId="3" fillId="0" borderId="0" xfId="0" applyNumberFormat="1" applyFont="1" applyAlignment="1">
      <alignment horizontal="center"/>
    </xf>
    <xf numFmtId="2" fontId="3" fillId="0" borderId="0" xfId="0" applyNumberFormat="1" applyFont="1" applyAlignment="1">
      <alignment horizontal="center"/>
    </xf>
    <xf numFmtId="1" fontId="0" fillId="35" borderId="10" xfId="0" applyNumberFormat="1" applyFill="1" applyBorder="1" applyAlignment="1" applyProtection="1">
      <alignment horizontal="right"/>
      <protection/>
    </xf>
    <xf numFmtId="1" fontId="0" fillId="33" borderId="10" xfId="0" applyNumberFormat="1" applyFill="1" applyBorder="1" applyAlignment="1" applyProtection="1">
      <alignment horizontal="right"/>
      <protection/>
    </xf>
    <xf numFmtId="38" fontId="0" fillId="0" borderId="10" xfId="0" applyNumberFormat="1" applyFill="1" applyBorder="1" applyAlignment="1">
      <alignment/>
    </xf>
    <xf numFmtId="38" fontId="0" fillId="35" borderId="10" xfId="0" applyNumberFormat="1" applyFill="1" applyBorder="1" applyAlignment="1">
      <alignment/>
    </xf>
    <xf numFmtId="38" fontId="0" fillId="0" borderId="10" xfId="0" applyNumberFormat="1" applyFont="1" applyFill="1" applyBorder="1" applyAlignment="1">
      <alignment/>
    </xf>
    <xf numFmtId="38" fontId="22" fillId="0" borderId="10" xfId="0" applyNumberFormat="1" applyFont="1" applyFill="1" applyBorder="1" applyAlignment="1">
      <alignment horizontal="right"/>
    </xf>
    <xf numFmtId="38" fontId="22" fillId="0" borderId="10" xfId="0" applyNumberFormat="1" applyFont="1" applyFill="1" applyBorder="1" applyAlignment="1">
      <alignment/>
    </xf>
    <xf numFmtId="38" fontId="0" fillId="37" borderId="10" xfId="0" applyNumberFormat="1" applyFill="1" applyBorder="1" applyAlignment="1">
      <alignment/>
    </xf>
    <xf numFmtId="38" fontId="0" fillId="0" borderId="0" xfId="0" applyNumberFormat="1" applyFont="1" applyFill="1" applyBorder="1" applyAlignment="1">
      <alignment/>
    </xf>
    <xf numFmtId="0" fontId="0" fillId="38" borderId="29" xfId="0" applyFill="1" applyBorder="1" applyAlignment="1">
      <alignment/>
    </xf>
    <xf numFmtId="0" fontId="0" fillId="38" borderId="0" xfId="0" applyFont="1" applyFill="1" applyAlignment="1">
      <alignment horizontal="right"/>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59" xfId="0" applyFont="1" applyBorder="1" applyAlignment="1">
      <alignment horizontal="left" wrapText="1"/>
    </xf>
    <xf numFmtId="0" fontId="0" fillId="0" borderId="59" xfId="0" applyFont="1" applyBorder="1" applyAlignment="1">
      <alignment horizontal="right" wrapText="1"/>
    </xf>
    <xf numFmtId="0" fontId="3" fillId="0" borderId="59" xfId="0" applyFont="1" applyBorder="1" applyAlignment="1">
      <alignment horizontal="left" vertical="center" wrapText="1"/>
    </xf>
    <xf numFmtId="0" fontId="3" fillId="0" borderId="59" xfId="0" applyFont="1" applyBorder="1" applyAlignment="1">
      <alignment horizontal="center" vertical="center" wrapText="1"/>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3" fillId="0" borderId="0" xfId="0" applyFont="1" applyAlignment="1">
      <alignment horizontal="center" wrapText="1"/>
    </xf>
    <xf numFmtId="0" fontId="0" fillId="7" borderId="0" xfId="0" applyFill="1" applyAlignment="1">
      <alignment/>
    </xf>
    <xf numFmtId="3" fontId="0" fillId="7" borderId="0" xfId="0" applyNumberFormat="1" applyFill="1" applyAlignment="1">
      <alignment/>
    </xf>
    <xf numFmtId="0" fontId="27"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169" fontId="0" fillId="0" borderId="0" xfId="0" applyNumberFormat="1" applyAlignment="1">
      <alignment/>
    </xf>
    <xf numFmtId="14" fontId="0" fillId="0" borderId="0" xfId="0" applyNumberFormat="1" applyAlignment="1">
      <alignment horizontal="left"/>
    </xf>
    <xf numFmtId="0" fontId="0" fillId="0" borderId="0" xfId="0" applyFont="1" applyBorder="1" applyAlignment="1">
      <alignment horizontal="left"/>
    </xf>
    <xf numFmtId="0" fontId="0" fillId="0" borderId="0" xfId="0" applyFont="1" applyAlignment="1">
      <alignment wrapText="1"/>
    </xf>
    <xf numFmtId="0" fontId="7" fillId="0" borderId="30"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0" fontId="6" fillId="0" borderId="14"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4"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wrapText="1"/>
    </xf>
    <xf numFmtId="0" fontId="0" fillId="0" borderId="13" xfId="0" applyBorder="1" applyAlignment="1">
      <alignment horizontal="center" wrapText="1"/>
    </xf>
    <xf numFmtId="0" fontId="0" fillId="0" borderId="11" xfId="0" applyFont="1" applyBorder="1" applyAlignment="1">
      <alignment horizontal="center" wrapText="1"/>
    </xf>
    <xf numFmtId="0" fontId="0" fillId="0" borderId="13" xfId="0" applyFont="1" applyBorder="1" applyAlignment="1">
      <alignment horizont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64" xfId="0" applyFont="1" applyBorder="1" applyAlignment="1">
      <alignment horizontal="center" vertical="center" wrapText="1"/>
    </xf>
    <xf numFmtId="0" fontId="3" fillId="0" borderId="0" xfId="0" applyFont="1" applyFill="1" applyBorder="1" applyAlignment="1">
      <alignment horizontal="center" vertical="center" wrapText="1"/>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3" fillId="0" borderId="0" xfId="0" applyFont="1" applyAlignment="1">
      <alignment horizontal="center" wrapText="1"/>
    </xf>
    <xf numFmtId="0" fontId="0" fillId="0" borderId="0" xfId="0" applyAlignment="1">
      <alignment horizontal="center" wrapText="1"/>
    </xf>
    <xf numFmtId="0" fontId="4" fillId="36" borderId="24" xfId="0" applyFont="1" applyFill="1" applyBorder="1" applyAlignment="1">
      <alignment wrapText="1"/>
    </xf>
    <xf numFmtId="0" fontId="26" fillId="0" borderId="0" xfId="0" applyFont="1" applyAlignment="1">
      <alignment horizontal="center" vertical="center"/>
    </xf>
    <xf numFmtId="0" fontId="25"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CourtlandAvLove" xfId="59"/>
    <cellStyle name="Normal_qryNetEvap_BySubbasin_AboveHarl"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13</xdr:row>
      <xdr:rowOff>66675</xdr:rowOff>
    </xdr:from>
    <xdr:to>
      <xdr:col>13</xdr:col>
      <xdr:colOff>57150</xdr:colOff>
      <xdr:row>21</xdr:row>
      <xdr:rowOff>133350</xdr:rowOff>
    </xdr:to>
    <xdr:sp>
      <xdr:nvSpPr>
        <xdr:cNvPr id="1" name="TextBox 1"/>
        <xdr:cNvSpPr txBox="1">
          <a:spLocks noChangeArrowheads="1"/>
        </xdr:cNvSpPr>
      </xdr:nvSpPr>
      <xdr:spPr>
        <a:xfrm>
          <a:off x="647700" y="2171700"/>
          <a:ext cx="8172450"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Documentation July 20, 2009 --spp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table summarizes surface water diversions by basin in column b; the summary is based on sheet Rptd_SW_Irr_Use_2008 in file RRCS_Overlap_Groups_2008_final.xls.  The Almena Canal </a:t>
          </a:r>
          <a:r>
            <a:rPr lang="en-US" cap="none" sz="1100" b="0" i="0" u="none" baseline="0">
              <a:solidFill>
                <a:srgbClr val="000000"/>
              </a:solidFill>
              <a:latin typeface="Calibri"/>
              <a:ea typeface="Calibri"/>
              <a:cs typeface="Calibri"/>
            </a:rPr>
            <a:t> Data (Prairie Dog Subbasin) shows 2217 af as reported by Bureau of Reclamation, and a return flow fraction as calculated in Attachment 7 of the RRCA Accounting spreadsheet file for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47</xdr:row>
      <xdr:rowOff>0</xdr:rowOff>
    </xdr:from>
    <xdr:to>
      <xdr:col>15</xdr:col>
      <xdr:colOff>114300</xdr:colOff>
      <xdr:row>101</xdr:row>
      <xdr:rowOff>57150</xdr:rowOff>
    </xdr:to>
    <xdr:sp>
      <xdr:nvSpPr>
        <xdr:cNvPr id="2" name="TextBox 3"/>
        <xdr:cNvSpPr txBox="1">
          <a:spLocks noChangeArrowheads="1"/>
        </xdr:cNvSpPr>
      </xdr:nvSpPr>
      <xdr:spPr>
        <a:xfrm>
          <a:off x="609600" y="7610475"/>
          <a:ext cx="9486900" cy="880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Sam Perkins (8/17/2009):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--Changed HC gross evap for Dec 2008 from 3171 af to 1371 af based on response from Bill Peck, BOR to inquiry by Hongsheng (see correspondence below).  HC Gross evap for Dec 2008 is shown as 3171 af in file Hc-evap.xls (sheet A, cell m62), but as 1371 af in file Tab2-08-09.xls (sheet A, cell d246 ), which links a BOR file that we don't have with the reference ='I:\RRCA\EC\For2008\Fed_ResUSBR\[08MONTHLYdatabase.xls]DEC'!$G$33.  The same apparent error occurs in sheet Evap of file HarlanCounty.xls,which assembles the separate sheets for Harlan County into a single file, and which we received from Nebraska as part of the data exchange in April 2009.  The data in file HarlanCounty.xls is the source for populating  sheet 'input' of this file, which is summarized in sheet summary and pasted into sheet Fed_reservoir for our accounting spreadsheet. The dependence of our calculations on BOR reservoir data provided by Nebraska is consistent with previous years in which Nebraska also provided us with the calculations of net evaporation and a summary sheet that we used in our accounting.  Nebraska's calculations for years 2006 and 2007 are compared with our own calculations in the current sheet (input) to verify that we obtain the same (or similar) results.  Sheet Fed_Reservoir_all_years of this file assembles reservoir data for evap, net evap and change in storage for all years following the same procedure, but calculated in the respective reservoir files.  A flat copy of Sheet Fed_Reservoir_all_years appears in a test version of the accounting in which impact calculations from the gw model and this federal reservoir data for specified years are referenced through index functions.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correspondence:
</a:t>
          </a:r>
          <a:r>
            <a:rPr lang="en-US" cap="none" sz="1100" b="0" i="0" u="none" baseline="0">
              <a:solidFill>
                <a:srgbClr val="000000"/>
              </a:solidFill>
              <a:latin typeface="Calibri"/>
              <a:ea typeface="Calibri"/>
              <a:cs typeface="Calibri"/>
            </a:rPr>
            <a:t>From: Peck, William E [mailto:WPeck@usbr.gov] 
</a:t>
          </a:r>
          <a:r>
            <a:rPr lang="en-US" cap="none" sz="1100" b="0" i="0" u="none" baseline="0">
              <a:solidFill>
                <a:srgbClr val="000000"/>
              </a:solidFill>
              <a:latin typeface="Calibri"/>
              <a:ea typeface="Calibri"/>
              <a:cs typeface="Calibri"/>
            </a:rPr>
            <a:t>Sent: Friday, August 14, 2009 3:34 PM
</a:t>
          </a:r>
          <a:r>
            <a:rPr lang="en-US" cap="none" sz="1100" b="0" i="0" u="none" baseline="0">
              <a:solidFill>
                <a:srgbClr val="000000"/>
              </a:solidFill>
              <a:latin typeface="Calibri"/>
              <a:ea typeface="Calibri"/>
              <a:cs typeface="Calibri"/>
            </a:rPr>
            <a:t>To: Cao, Hongsheng
</a:t>
          </a:r>
          <a:r>
            <a:rPr lang="en-US" cap="none" sz="1100" b="0" i="0" u="none" baseline="0">
              <a:solidFill>
                <a:srgbClr val="000000"/>
              </a:solidFill>
              <a:latin typeface="Calibri"/>
              <a:ea typeface="Calibri"/>
              <a:cs typeface="Calibri"/>
            </a:rPr>
            <a:t>Subject: RE: Harlan County Gross Evap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Hello Hongsheng,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been a busy irrigation season, but we appear to be on the downhill side.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correct value is 1,371 AF,  we will make a correction to the Hc-evap spreadsheet.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Have a nice weekend.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From: Cao, Hongsheng [mailto:Hongsheng.Cao@KDA.KS.GOV] 
</a:t>
          </a:r>
          <a:r>
            <a:rPr lang="en-US" cap="none" sz="1100" b="0" i="0" u="none" baseline="0">
              <a:solidFill>
                <a:srgbClr val="000000"/>
              </a:solidFill>
              <a:latin typeface="Calibri"/>
              <a:ea typeface="Calibri"/>
              <a:cs typeface="Calibri"/>
            </a:rPr>
            <a:t>Sent: Friday, August 14, 2009 2:13 PM
</a:t>
          </a:r>
          <a:r>
            <a:rPr lang="en-US" cap="none" sz="1100" b="0" i="0" u="none" baseline="0">
              <a:solidFill>
                <a:srgbClr val="000000"/>
              </a:solidFill>
              <a:latin typeface="Calibri"/>
              <a:ea typeface="Calibri"/>
              <a:cs typeface="Calibri"/>
            </a:rPr>
            <a:t>To: Peck, William E
</a:t>
          </a:r>
          <a:r>
            <a:rPr lang="en-US" cap="none" sz="1100" b="0" i="0" u="none" baseline="0">
              <a:solidFill>
                <a:srgbClr val="000000"/>
              </a:solidFill>
              <a:latin typeface="Calibri"/>
              <a:ea typeface="Calibri"/>
              <a:cs typeface="Calibri"/>
            </a:rPr>
            <a:t>Subject: Harlan County Gross Evap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 Bill: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How are you doing recently?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am checking both Nebraska’s data and our own data, and found an error in Tab2-08-09 (cell D246 = 1371) or Hc-evap (cell M62 = 3171). Which one is correct?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Thanks.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-Hongsheng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06"/>
  <sheetViews>
    <sheetView tabSelected="1" zoomScalePageLayoutView="0" workbookViewId="0" topLeftCell="A82">
      <selection activeCell="C107" sqref="C107"/>
    </sheetView>
  </sheetViews>
  <sheetFormatPr defaultColWidth="9.140625" defaultRowHeight="12.75"/>
  <cols>
    <col min="3" max="3" width="21.7109375" style="0" customWidth="1"/>
  </cols>
  <sheetData>
    <row r="1" ht="12.75">
      <c r="A1" s="62" t="s">
        <v>665</v>
      </c>
    </row>
    <row r="2" spans="1:3" ht="12.75">
      <c r="A2" s="62"/>
      <c r="C2" s="62" t="s">
        <v>696</v>
      </c>
    </row>
    <row r="3" spans="1:2" ht="12.75">
      <c r="A3" s="62" t="s">
        <v>663</v>
      </c>
      <c r="B3" s="62" t="s">
        <v>664</v>
      </c>
    </row>
    <row r="4" spans="1:2" ht="12.75">
      <c r="A4" s="62"/>
      <c r="B4" s="62"/>
    </row>
    <row r="5" spans="1:3" ht="12.75">
      <c r="A5" s="360" t="s">
        <v>435</v>
      </c>
      <c r="B5" s="431">
        <v>40080</v>
      </c>
      <c r="C5" s="62" t="s">
        <v>691</v>
      </c>
    </row>
    <row r="6" spans="1:3" ht="12.75">
      <c r="A6" s="360" t="s">
        <v>692</v>
      </c>
      <c r="B6" s="431"/>
      <c r="C6" s="62"/>
    </row>
    <row r="7" spans="1:2" ht="12.75">
      <c r="A7" s="62"/>
      <c r="B7" s="62"/>
    </row>
    <row r="8" spans="1:3" ht="12.75">
      <c r="A8" s="62"/>
      <c r="B8" s="62"/>
      <c r="C8" s="62" t="s">
        <v>666</v>
      </c>
    </row>
    <row r="9" spans="1:3" ht="12.75">
      <c r="A9" s="62"/>
      <c r="B9" s="62"/>
      <c r="C9" s="62" t="s">
        <v>667</v>
      </c>
    </row>
    <row r="10" spans="1:3" ht="12.75">
      <c r="A10" s="62"/>
      <c r="B10" s="62"/>
      <c r="C10" s="62" t="s">
        <v>668</v>
      </c>
    </row>
    <row r="11" spans="1:3" ht="12.75">
      <c r="A11" s="62"/>
      <c r="B11" s="62"/>
      <c r="C11" s="62" t="s">
        <v>669</v>
      </c>
    </row>
    <row r="12" spans="1:3" ht="12.75">
      <c r="A12" s="62"/>
      <c r="B12" s="62"/>
      <c r="C12" s="62" t="s">
        <v>670</v>
      </c>
    </row>
    <row r="13" spans="1:2" ht="12.75">
      <c r="A13" s="62"/>
      <c r="B13" s="62"/>
    </row>
    <row r="26" spans="3:7" ht="12.75">
      <c r="C26" t="s">
        <v>621</v>
      </c>
      <c r="G26" t="s">
        <v>622</v>
      </c>
    </row>
    <row r="27" spans="3:7" ht="12.75">
      <c r="C27" t="s">
        <v>623</v>
      </c>
      <c r="D27" t="s">
        <v>257</v>
      </c>
      <c r="E27" t="s">
        <v>624</v>
      </c>
      <c r="F27" t="s">
        <v>625</v>
      </c>
      <c r="G27" t="s">
        <v>626</v>
      </c>
    </row>
    <row r="28" spans="3:6" ht="12.75">
      <c r="C28" t="s">
        <v>627</v>
      </c>
      <c r="D28">
        <v>0</v>
      </c>
      <c r="E28">
        <v>0</v>
      </c>
      <c r="F28">
        <v>0</v>
      </c>
    </row>
    <row r="29" spans="3:6" ht="12.75">
      <c r="C29" t="s">
        <v>628</v>
      </c>
      <c r="D29">
        <v>0</v>
      </c>
      <c r="E29">
        <v>0</v>
      </c>
      <c r="F29">
        <v>0</v>
      </c>
    </row>
    <row r="30" spans="3:6" ht="12.75">
      <c r="C30" t="s">
        <v>629</v>
      </c>
      <c r="D30">
        <v>0</v>
      </c>
      <c r="E30">
        <v>0</v>
      </c>
      <c r="F30">
        <v>0</v>
      </c>
    </row>
    <row r="31" spans="3:6" ht="12.75">
      <c r="C31" t="s">
        <v>630</v>
      </c>
      <c r="D31" s="303">
        <v>31.2584586207</v>
      </c>
      <c r="E31" s="303">
        <v>9.37753758621</v>
      </c>
      <c r="F31" s="303">
        <v>21.88092103449</v>
      </c>
    </row>
    <row r="32" spans="3:7" ht="12.75">
      <c r="C32" t="s">
        <v>631</v>
      </c>
      <c r="D32" s="303">
        <v>300.1806009491</v>
      </c>
      <c r="E32" s="303">
        <v>58.619043304967605</v>
      </c>
      <c r="F32" s="303">
        <v>241.5615576441324</v>
      </c>
      <c r="G32" t="s">
        <v>632</v>
      </c>
    </row>
    <row r="33" spans="3:7" ht="12.75">
      <c r="C33" t="s">
        <v>633</v>
      </c>
      <c r="D33" s="303">
        <v>448.80427557393</v>
      </c>
      <c r="E33" s="303">
        <v>93.40701130274701</v>
      </c>
      <c r="F33" s="303">
        <v>355.397264271183</v>
      </c>
      <c r="G33" t="s">
        <v>634</v>
      </c>
    </row>
    <row r="34" spans="3:6" ht="12.75">
      <c r="C34" t="s">
        <v>635</v>
      </c>
      <c r="D34" s="303">
        <v>0</v>
      </c>
      <c r="E34" s="303">
        <v>0</v>
      </c>
      <c r="F34" s="303">
        <v>0</v>
      </c>
    </row>
    <row r="35" spans="3:6" ht="12.75">
      <c r="C35" t="s">
        <v>636</v>
      </c>
      <c r="D35" s="303">
        <v>41</v>
      </c>
      <c r="E35" s="303">
        <v>4.92</v>
      </c>
      <c r="F35" s="303">
        <v>36.08</v>
      </c>
    </row>
    <row r="36" spans="3:6" ht="12.75">
      <c r="C36" t="s">
        <v>637</v>
      </c>
      <c r="D36" s="303">
        <v>0</v>
      </c>
      <c r="E36" s="303">
        <v>0</v>
      </c>
      <c r="F36" s="303">
        <v>0</v>
      </c>
    </row>
    <row r="37" spans="3:6" ht="12.75">
      <c r="C37" t="s">
        <v>638</v>
      </c>
      <c r="D37" s="303">
        <v>0</v>
      </c>
      <c r="E37" s="303">
        <v>0</v>
      </c>
      <c r="F37" s="303">
        <v>0</v>
      </c>
    </row>
    <row r="38" spans="4:6" ht="12.75">
      <c r="D38" s="303"/>
      <c r="E38" s="303"/>
      <c r="F38" s="303"/>
    </row>
    <row r="39" spans="3:6" ht="12.75">
      <c r="C39" t="s">
        <v>639</v>
      </c>
      <c r="D39" s="303"/>
      <c r="E39" s="303"/>
      <c r="F39" s="303"/>
    </row>
    <row r="40" spans="3:6" ht="12.75">
      <c r="C40" t="s">
        <v>623</v>
      </c>
      <c r="D40" s="303" t="s">
        <v>257</v>
      </c>
      <c r="E40" s="303" t="s">
        <v>624</v>
      </c>
      <c r="F40" s="303" t="s">
        <v>625</v>
      </c>
    </row>
    <row r="41" spans="3:7" ht="12.75">
      <c r="C41" t="s">
        <v>631</v>
      </c>
      <c r="D41" s="303">
        <v>203</v>
      </c>
      <c r="E41" s="303">
        <v>101.5</v>
      </c>
      <c r="F41" s="303">
        <v>101.5</v>
      </c>
      <c r="G41" t="s">
        <v>640</v>
      </c>
    </row>
    <row r="43" ht="12.75">
      <c r="C43" t="s">
        <v>137</v>
      </c>
    </row>
    <row r="44" spans="3:7" ht="12.75">
      <c r="C44" t="s">
        <v>276</v>
      </c>
      <c r="D44">
        <v>2217</v>
      </c>
      <c r="G44" t="s">
        <v>641</v>
      </c>
    </row>
    <row r="45" spans="3:7" ht="12.75">
      <c r="C45" t="s">
        <v>277</v>
      </c>
      <c r="D45">
        <v>0.6058827244023454</v>
      </c>
      <c r="G45" t="s">
        <v>642</v>
      </c>
    </row>
    <row r="104" spans="1:2" ht="12.75">
      <c r="A104" s="206">
        <v>40339</v>
      </c>
      <c r="B104" t="s">
        <v>697</v>
      </c>
    </row>
    <row r="105" ht="12.75">
      <c r="B105" s="62" t="s">
        <v>699</v>
      </c>
    </row>
    <row r="106" ht="12.75">
      <c r="B106" s="62" t="s">
        <v>698</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G74"/>
  <sheetViews>
    <sheetView zoomScalePageLayoutView="0" workbookViewId="0" topLeftCell="A1">
      <selection activeCell="G1" sqref="G1:G16384"/>
    </sheetView>
  </sheetViews>
  <sheetFormatPr defaultColWidth="9.140625" defaultRowHeight="12.75"/>
  <cols>
    <col min="1" max="1" width="74.7109375" style="0" customWidth="1"/>
    <col min="2" max="2" width="10.00390625" style="0" customWidth="1"/>
  </cols>
  <sheetData>
    <row r="1" spans="1:7" ht="15.75">
      <c r="A1" s="59" t="s">
        <v>220</v>
      </c>
      <c r="B1" s="5">
        <v>2008</v>
      </c>
      <c r="C1">
        <v>2003</v>
      </c>
      <c r="D1">
        <v>2004</v>
      </c>
      <c r="E1" s="275">
        <v>2005</v>
      </c>
      <c r="F1" s="275">
        <v>2006</v>
      </c>
      <c r="G1" s="275">
        <v>2007</v>
      </c>
    </row>
    <row r="2" ht="12.75"/>
    <row r="3" spans="1:2" ht="15.75">
      <c r="A3" s="10" t="s">
        <v>171</v>
      </c>
      <c r="B3" s="294"/>
    </row>
    <row r="4" spans="1:2" ht="12.75">
      <c r="A4" s="8" t="s">
        <v>172</v>
      </c>
      <c r="B4" s="295"/>
    </row>
    <row r="5" spans="1:7" ht="12.75">
      <c r="A5" s="52" t="str">
        <f>+INPUT!B52</f>
        <v>Imported Water Nebraska</v>
      </c>
      <c r="B5" s="52">
        <f>+INPUT!C52</f>
        <v>0</v>
      </c>
      <c r="C5">
        <v>0</v>
      </c>
      <c r="D5">
        <v>0</v>
      </c>
      <c r="E5">
        <v>0</v>
      </c>
      <c r="F5">
        <v>0</v>
      </c>
      <c r="G5">
        <v>0</v>
      </c>
    </row>
    <row r="6" spans="1:7" ht="12.75">
      <c r="A6" s="52" t="str">
        <f>+INPUT!B22</f>
        <v>GW CBCU Colorado</v>
      </c>
      <c r="B6" s="52">
        <f>+INPUT!C22</f>
        <v>0</v>
      </c>
      <c r="C6">
        <v>0</v>
      </c>
      <c r="D6">
        <v>0</v>
      </c>
      <c r="E6">
        <v>0</v>
      </c>
      <c r="F6">
        <v>0</v>
      </c>
      <c r="G6">
        <v>0</v>
      </c>
    </row>
    <row r="7" spans="1:7" ht="12.75">
      <c r="A7" s="52" t="str">
        <f>+INPUT!B23</f>
        <v>GW CBCU Kansas</v>
      </c>
      <c r="B7" s="52">
        <f>+INPUT!C23</f>
        <v>0</v>
      </c>
      <c r="C7">
        <v>0</v>
      </c>
      <c r="D7">
        <v>0</v>
      </c>
      <c r="E7">
        <v>0</v>
      </c>
      <c r="F7">
        <v>0</v>
      </c>
      <c r="G7">
        <v>0</v>
      </c>
    </row>
    <row r="8" spans="1:7" ht="12" customHeight="1">
      <c r="A8" s="52" t="str">
        <f>+INPUT!B24</f>
        <v>GW CBCU Nebraska</v>
      </c>
      <c r="B8" s="52">
        <f>+INPUT!C24</f>
        <v>1288</v>
      </c>
      <c r="C8">
        <v>1391</v>
      </c>
      <c r="D8">
        <v>1479</v>
      </c>
      <c r="E8">
        <v>1481</v>
      </c>
      <c r="F8">
        <v>1422</v>
      </c>
      <c r="G8">
        <v>1351</v>
      </c>
    </row>
    <row r="9" spans="1:2" ht="12.75">
      <c r="A9" s="2" t="s">
        <v>78</v>
      </c>
      <c r="B9" s="2"/>
    </row>
    <row r="10" spans="1:2" ht="12.75">
      <c r="A10" s="5" t="s">
        <v>206</v>
      </c>
      <c r="B10" s="2"/>
    </row>
    <row r="11" spans="1:7" ht="12.75">
      <c r="A11" s="57" t="str">
        <f>+INPUT!B242</f>
        <v>Meeker-Driftwood Canal % Return Flow</v>
      </c>
      <c r="B11" s="57">
        <f>+INPUT!C242</f>
        <v>1</v>
      </c>
      <c r="C11">
        <v>1</v>
      </c>
      <c r="D11">
        <v>1</v>
      </c>
      <c r="E11">
        <v>1</v>
      </c>
      <c r="F11">
        <v>1</v>
      </c>
      <c r="G11">
        <v>1</v>
      </c>
    </row>
    <row r="12" spans="1:2" ht="12.75">
      <c r="A12" s="2" t="s">
        <v>78</v>
      </c>
      <c r="B12" s="2"/>
    </row>
    <row r="13" spans="1:2" ht="12.75">
      <c r="A13" s="5" t="s">
        <v>174</v>
      </c>
      <c r="B13" s="2"/>
    </row>
    <row r="14" spans="1:7" ht="12.75">
      <c r="A14" s="52" t="str">
        <f>+INPUT!B189</f>
        <v>Driftwood Creek Near McCook</v>
      </c>
      <c r="B14" s="52">
        <f>+INPUT!C189</f>
        <v>2539</v>
      </c>
      <c r="C14">
        <v>1100</v>
      </c>
      <c r="D14">
        <v>1201</v>
      </c>
      <c r="E14">
        <v>1911</v>
      </c>
      <c r="F14">
        <v>1714</v>
      </c>
      <c r="G14">
        <v>4311.31</v>
      </c>
    </row>
    <row r="15" spans="1:7" ht="12.75">
      <c r="A15" s="52" t="str">
        <f>+INPUT!B95</f>
        <v>SW Diversions - Irrigation - Non-Federal Canals- Kansas</v>
      </c>
      <c r="B15" s="52">
        <f>+INPUT!C95</f>
        <v>0</v>
      </c>
      <c r="C15">
        <v>0</v>
      </c>
      <c r="D15">
        <v>0</v>
      </c>
      <c r="E15">
        <v>0</v>
      </c>
      <c r="F15">
        <v>0</v>
      </c>
      <c r="G15">
        <v>0</v>
      </c>
    </row>
    <row r="16" spans="1:7" ht="12.75">
      <c r="A16" s="52" t="str">
        <f>+INPUT!B96</f>
        <v>SW Diversions - Irrigation - Small Pumps - Kansas</v>
      </c>
      <c r="B16" s="52">
        <f>+INPUT!C96</f>
        <v>0</v>
      </c>
      <c r="C16">
        <v>0</v>
      </c>
      <c r="D16">
        <v>0</v>
      </c>
      <c r="E16">
        <v>0</v>
      </c>
      <c r="F16">
        <v>0</v>
      </c>
      <c r="G16">
        <v>0</v>
      </c>
    </row>
    <row r="17" spans="1:7" ht="12.75">
      <c r="A17" s="52" t="str">
        <f>+INPUT!B97</f>
        <v>SW Diversions - M&amp;I - Kansas</v>
      </c>
      <c r="B17" s="52">
        <f>+INPUT!C97</f>
        <v>0</v>
      </c>
      <c r="C17">
        <v>0</v>
      </c>
      <c r="D17">
        <v>0</v>
      </c>
      <c r="E17">
        <v>0</v>
      </c>
      <c r="F17">
        <v>0</v>
      </c>
      <c r="G17">
        <v>0</v>
      </c>
    </row>
    <row r="18" spans="1:7" ht="12.75">
      <c r="A18" s="52" t="str">
        <f>+INPUT!B241</f>
        <v>Meeker-Driftwood Canal Diversions</v>
      </c>
      <c r="B18" s="52">
        <f>+INPUT!C241</f>
        <v>0</v>
      </c>
      <c r="C18">
        <v>0</v>
      </c>
      <c r="D18">
        <v>0</v>
      </c>
      <c r="E18">
        <v>0</v>
      </c>
      <c r="F18">
        <v>0</v>
      </c>
      <c r="G18">
        <v>0</v>
      </c>
    </row>
    <row r="19" spans="1:7" ht="12.75">
      <c r="A19" s="104" t="str">
        <f>+INPUT!B98</f>
        <v>SW Diversions - Irrigation - Non-Federal Canals - Nebraska</v>
      </c>
      <c r="B19" s="104">
        <f>+INPUT!C98</f>
        <v>0</v>
      </c>
      <c r="C19">
        <v>0</v>
      </c>
      <c r="D19">
        <v>0</v>
      </c>
      <c r="E19">
        <v>0</v>
      </c>
      <c r="F19">
        <v>0</v>
      </c>
      <c r="G19">
        <v>0</v>
      </c>
    </row>
    <row r="20" spans="1:7" ht="12.75">
      <c r="A20" s="104" t="str">
        <f>+INPUT!B99</f>
        <v>SW Diversions - Irrigation - Small Pumps - Nebraska</v>
      </c>
      <c r="B20" s="104">
        <f>+INPUT!C99</f>
        <v>0</v>
      </c>
      <c r="C20">
        <v>0</v>
      </c>
      <c r="D20">
        <v>15.5</v>
      </c>
      <c r="E20">
        <v>0</v>
      </c>
      <c r="F20">
        <v>0</v>
      </c>
      <c r="G20">
        <v>0</v>
      </c>
    </row>
    <row r="21" spans="1:7" ht="12.75">
      <c r="A21" s="104" t="str">
        <f>+INPUT!B100</f>
        <v>SW Diversions - M&amp;I - Nebraska</v>
      </c>
      <c r="B21" s="104">
        <f>+INPUT!C100</f>
        <v>0</v>
      </c>
      <c r="C21">
        <v>0</v>
      </c>
      <c r="D21">
        <v>0</v>
      </c>
      <c r="E21">
        <v>0</v>
      </c>
      <c r="F21">
        <v>0</v>
      </c>
      <c r="G21">
        <v>0</v>
      </c>
    </row>
    <row r="22" spans="1:7" ht="12.75">
      <c r="A22" s="104" t="str">
        <f>+INPUT!B164</f>
        <v>Non-Federal Reservoir Evaporation - Kansas</v>
      </c>
      <c r="B22" s="104">
        <f>+INPUT!C164</f>
        <v>11</v>
      </c>
      <c r="C22">
        <v>0</v>
      </c>
      <c r="D22">
        <v>6.6</v>
      </c>
      <c r="E22">
        <v>6.6</v>
      </c>
      <c r="F22">
        <v>11.47</v>
      </c>
      <c r="G22">
        <v>13</v>
      </c>
    </row>
    <row r="23" spans="1:7" ht="12.75">
      <c r="A23" s="104" t="str">
        <f>+INPUT!B165</f>
        <v>Non-Federal Reservoir Evaporation - Nebraska</v>
      </c>
      <c r="B23" s="104">
        <f>+INPUT!C165</f>
        <v>3</v>
      </c>
      <c r="C23">
        <v>0</v>
      </c>
      <c r="D23">
        <v>8.2</v>
      </c>
      <c r="E23">
        <v>1.8</v>
      </c>
      <c r="F23">
        <v>0</v>
      </c>
      <c r="G23">
        <v>5</v>
      </c>
    </row>
    <row r="24" spans="1:7" ht="12.75">
      <c r="A24" s="104" t="str">
        <f>+INPUT!B205</f>
        <v>Driftwood Flood Flow</v>
      </c>
      <c r="B24" s="104">
        <f>+INPUT!C205</f>
        <v>0</v>
      </c>
      <c r="C24">
        <v>0</v>
      </c>
      <c r="D24">
        <v>0</v>
      </c>
      <c r="E24">
        <v>0</v>
      </c>
      <c r="F24">
        <v>0</v>
      </c>
      <c r="G24">
        <v>0</v>
      </c>
    </row>
    <row r="25" spans="1:2" ht="12.75">
      <c r="A25" s="119" t="s">
        <v>78</v>
      </c>
      <c r="B25" s="16"/>
    </row>
    <row r="26" spans="1:2" ht="15.75">
      <c r="A26" s="10" t="s">
        <v>255</v>
      </c>
      <c r="B26" s="16"/>
    </row>
    <row r="27" spans="1:2" ht="12.75">
      <c r="A27" s="8" t="s">
        <v>0</v>
      </c>
      <c r="B27" s="16"/>
    </row>
    <row r="28" spans="1:7" ht="12.75">
      <c r="A28" s="16" t="str">
        <f>'NORTH FORK'!A28</f>
        <v>GW CBCU</v>
      </c>
      <c r="B28" s="16">
        <f>+B6</f>
        <v>0</v>
      </c>
      <c r="C28">
        <v>0</v>
      </c>
      <c r="D28">
        <v>0</v>
      </c>
      <c r="E28">
        <v>0</v>
      </c>
      <c r="F28">
        <v>0</v>
      </c>
      <c r="G28">
        <v>0</v>
      </c>
    </row>
    <row r="29" spans="1:7" ht="12.75">
      <c r="A29" s="16" t="str">
        <f>'NORTH FORK'!A29</f>
        <v>Total CBCU</v>
      </c>
      <c r="B29" s="73">
        <f>(ROUND(SUM(B28:B28),-1))</f>
        <v>0</v>
      </c>
      <c r="C29">
        <v>0</v>
      </c>
      <c r="D29">
        <v>0</v>
      </c>
      <c r="E29">
        <v>0</v>
      </c>
      <c r="F29">
        <v>0</v>
      </c>
      <c r="G29">
        <v>0</v>
      </c>
    </row>
    <row r="30" spans="1:2" ht="12.75">
      <c r="A30" s="16" t="s">
        <v>78</v>
      </c>
      <c r="B30" s="16"/>
    </row>
    <row r="31" spans="1:2" ht="12.75">
      <c r="A31" s="8" t="s">
        <v>175</v>
      </c>
      <c r="B31" s="16"/>
    </row>
    <row r="32" spans="1:7" ht="12.75">
      <c r="A32" s="16" t="str">
        <f>'NORTH FORK'!A23</f>
        <v>SW CBCU - Irrigation - Non Federal Canals</v>
      </c>
      <c r="B32" s="16">
        <f>+B15*CanalCUPercent</f>
        <v>0</v>
      </c>
      <c r="C32">
        <v>0</v>
      </c>
      <c r="D32">
        <v>0</v>
      </c>
      <c r="E32">
        <v>0</v>
      </c>
      <c r="F32">
        <v>0</v>
      </c>
      <c r="G32">
        <v>0</v>
      </c>
    </row>
    <row r="33" spans="1:7" ht="12.75">
      <c r="A33" s="16" t="str">
        <f>'NORTH FORK'!A24</f>
        <v>SW CBCU - Irrigation - Small Pumps</v>
      </c>
      <c r="B33" s="16">
        <f>+B16*PumperCUPercent</f>
        <v>0</v>
      </c>
      <c r="C33">
        <v>0</v>
      </c>
      <c r="D33">
        <v>0</v>
      </c>
      <c r="E33">
        <v>0</v>
      </c>
      <c r="F33">
        <v>0</v>
      </c>
      <c r="G33">
        <v>0</v>
      </c>
    </row>
    <row r="34" spans="1:7" ht="12.75">
      <c r="A34" s="16" t="str">
        <f>'NORTH FORK'!A25</f>
        <v>SW CBCU - M&amp;I</v>
      </c>
      <c r="B34" s="16">
        <f>+B17*MI_CUPercent</f>
        <v>0</v>
      </c>
      <c r="C34">
        <v>0</v>
      </c>
      <c r="D34">
        <v>0</v>
      </c>
      <c r="E34">
        <v>0</v>
      </c>
      <c r="F34">
        <v>0</v>
      </c>
      <c r="G34">
        <v>0</v>
      </c>
    </row>
    <row r="35" spans="1:7" ht="12.75">
      <c r="A35" s="97" t="str">
        <f>'NORTH FORK'!A26</f>
        <v>Non-Federal Reservoir Evaporation</v>
      </c>
      <c r="B35" s="16">
        <f>B22</f>
        <v>11</v>
      </c>
      <c r="C35">
        <v>0</v>
      </c>
      <c r="D35">
        <v>6.6</v>
      </c>
      <c r="E35">
        <v>6.6</v>
      </c>
      <c r="F35">
        <v>11.47</v>
      </c>
      <c r="G35">
        <v>13</v>
      </c>
    </row>
    <row r="36" spans="1:7" ht="12.75">
      <c r="A36" s="16" t="str">
        <f>'NORTH FORK'!A27</f>
        <v>SW CBCU</v>
      </c>
      <c r="B36" s="73">
        <f>B32+B33+B34+B35</f>
        <v>11</v>
      </c>
      <c r="C36">
        <v>0</v>
      </c>
      <c r="D36">
        <v>6.6</v>
      </c>
      <c r="E36">
        <v>6.6</v>
      </c>
      <c r="F36">
        <v>11.47</v>
      </c>
      <c r="G36">
        <v>13</v>
      </c>
    </row>
    <row r="37" spans="1:7" ht="12.75">
      <c r="A37" s="16" t="str">
        <f>'NORTH FORK'!A28</f>
        <v>GW CBCU</v>
      </c>
      <c r="B37" s="16">
        <f>+B7</f>
        <v>0</v>
      </c>
      <c r="C37">
        <v>0</v>
      </c>
      <c r="D37">
        <v>0</v>
      </c>
      <c r="E37">
        <v>0</v>
      </c>
      <c r="F37">
        <v>0</v>
      </c>
      <c r="G37">
        <v>0</v>
      </c>
    </row>
    <row r="38" spans="1:7" ht="12.75">
      <c r="A38" s="16" t="str">
        <f>'NORTH FORK'!A29</f>
        <v>Total CBCU</v>
      </c>
      <c r="B38" s="73">
        <f>(ROUND(SUM(B36:B37),-1))</f>
        <v>10</v>
      </c>
      <c r="C38">
        <v>0</v>
      </c>
      <c r="D38">
        <v>10</v>
      </c>
      <c r="E38">
        <v>10</v>
      </c>
      <c r="F38">
        <v>10</v>
      </c>
      <c r="G38">
        <v>10</v>
      </c>
    </row>
    <row r="39" spans="1:2" ht="12.75">
      <c r="A39" s="16" t="s">
        <v>78</v>
      </c>
      <c r="B39" s="16"/>
    </row>
    <row r="40" spans="1:2" ht="12.75">
      <c r="A40" s="8" t="s">
        <v>1</v>
      </c>
      <c r="B40" s="16"/>
    </row>
    <row r="41" spans="1:7" ht="12.75">
      <c r="A41" s="12" t="str">
        <f>'NORTH FORK'!A23</f>
        <v>SW CBCU - Irrigation - Non Federal Canals</v>
      </c>
      <c r="B41" s="73">
        <f>B19*CanalCUPercent</f>
        <v>0</v>
      </c>
      <c r="C41">
        <v>0</v>
      </c>
      <c r="D41">
        <v>0</v>
      </c>
      <c r="E41">
        <v>0</v>
      </c>
      <c r="F41">
        <v>0</v>
      </c>
      <c r="G41">
        <v>0</v>
      </c>
    </row>
    <row r="42" spans="1:7" ht="12.75">
      <c r="A42" s="12" t="str">
        <f>'NORTH FORK'!A24</f>
        <v>SW CBCU - Irrigation - Small Pumps</v>
      </c>
      <c r="B42" s="73">
        <f>B20*PumperCUPercent</f>
        <v>0</v>
      </c>
      <c r="C42">
        <v>0</v>
      </c>
      <c r="D42">
        <v>11.625</v>
      </c>
      <c r="E42">
        <v>0</v>
      </c>
      <c r="F42">
        <v>0</v>
      </c>
      <c r="G42">
        <v>0</v>
      </c>
    </row>
    <row r="43" spans="1:7" ht="12.75">
      <c r="A43" s="12" t="str">
        <f>'NORTH FORK'!A25</f>
        <v>SW CBCU - M&amp;I</v>
      </c>
      <c r="B43" s="16">
        <f>B21*MI_CUPercent</f>
        <v>0</v>
      </c>
      <c r="C43">
        <v>0</v>
      </c>
      <c r="D43">
        <v>0</v>
      </c>
      <c r="E43">
        <v>0</v>
      </c>
      <c r="F43">
        <v>0</v>
      </c>
      <c r="G43">
        <v>0</v>
      </c>
    </row>
    <row r="44" spans="1:7" ht="12.75">
      <c r="A44" s="16" t="str">
        <f>'NORTH FORK'!A26</f>
        <v>Non-Federal Reservoir Evaporation</v>
      </c>
      <c r="B44" s="16">
        <f>B23</f>
        <v>3</v>
      </c>
      <c r="C44">
        <v>0</v>
      </c>
      <c r="D44">
        <v>8.2</v>
      </c>
      <c r="E44">
        <v>1.8</v>
      </c>
      <c r="F44">
        <v>0</v>
      </c>
      <c r="G44">
        <v>5</v>
      </c>
    </row>
    <row r="45" spans="1:7" ht="12.75">
      <c r="A45" s="16" t="str">
        <f>'NORTH FORK'!A27</f>
        <v>SW CBCU</v>
      </c>
      <c r="B45" s="73">
        <f>B41+B42+B43+B44</f>
        <v>3</v>
      </c>
      <c r="C45">
        <v>0</v>
      </c>
      <c r="D45">
        <v>19.825</v>
      </c>
      <c r="E45">
        <v>1.8</v>
      </c>
      <c r="F45">
        <v>0</v>
      </c>
      <c r="G45">
        <v>5</v>
      </c>
    </row>
    <row r="46" spans="1:7" ht="12.75">
      <c r="A46" s="16" t="str">
        <f>'NORTH FORK'!A28</f>
        <v>GW CBCU</v>
      </c>
      <c r="B46" s="16">
        <f>+B8</f>
        <v>1288</v>
      </c>
      <c r="C46">
        <v>1391</v>
      </c>
      <c r="D46">
        <v>1479</v>
      </c>
      <c r="E46">
        <v>1481</v>
      </c>
      <c r="F46">
        <v>1422</v>
      </c>
      <c r="G46">
        <v>1351</v>
      </c>
    </row>
    <row r="47" spans="1:7" ht="12.75">
      <c r="A47" s="16" t="str">
        <f>'NORTH FORK'!A29</f>
        <v>Total CBCU</v>
      </c>
      <c r="B47" s="73">
        <f>(ROUND(SUM(B45:B46),-1))</f>
        <v>1290</v>
      </c>
      <c r="C47">
        <v>1390</v>
      </c>
      <c r="D47">
        <v>1500</v>
      </c>
      <c r="E47">
        <v>1480</v>
      </c>
      <c r="F47">
        <v>1420</v>
      </c>
      <c r="G47">
        <v>1360</v>
      </c>
    </row>
    <row r="48" spans="1:2" ht="12.75">
      <c r="A48" s="97" t="s">
        <v>78</v>
      </c>
      <c r="B48" s="16"/>
    </row>
    <row r="49" spans="1:2" ht="12.75">
      <c r="A49" s="5" t="s">
        <v>176</v>
      </c>
      <c r="B49" s="16"/>
    </row>
    <row r="50" spans="1:7" ht="12.75">
      <c r="A50" s="97" t="str">
        <f>'NORTH FORK'!A42</f>
        <v>Total SW CBCU</v>
      </c>
      <c r="B50" s="73">
        <f>+B36+B45</f>
        <v>14</v>
      </c>
      <c r="C50">
        <v>0</v>
      </c>
      <c r="D50">
        <v>26.425</v>
      </c>
      <c r="E50">
        <v>8.4</v>
      </c>
      <c r="F50">
        <v>11.47</v>
      </c>
      <c r="G50">
        <v>18</v>
      </c>
    </row>
    <row r="51" spans="1:7" ht="12.75">
      <c r="A51" s="97" t="str">
        <f>'NORTH FORK'!A43</f>
        <v>Total GW CBCU</v>
      </c>
      <c r="B51" s="73">
        <f>+B28+B37+B46</f>
        <v>1288</v>
      </c>
      <c r="C51">
        <v>1391</v>
      </c>
      <c r="D51">
        <v>1479</v>
      </c>
      <c r="E51">
        <v>1481</v>
      </c>
      <c r="F51">
        <v>1422</v>
      </c>
      <c r="G51">
        <v>1351</v>
      </c>
    </row>
    <row r="52" spans="1:7" ht="12.75">
      <c r="A52" s="97" t="str">
        <f>'NORTH FORK'!A44</f>
        <v>Total Basin CBCU</v>
      </c>
      <c r="B52" s="73">
        <f>(ROUND(SUM(B50:B51),-1))</f>
        <v>1300</v>
      </c>
      <c r="C52">
        <v>1390</v>
      </c>
      <c r="D52">
        <v>1510</v>
      </c>
      <c r="E52">
        <v>1490</v>
      </c>
      <c r="F52">
        <v>1430</v>
      </c>
      <c r="G52">
        <v>1370</v>
      </c>
    </row>
    <row r="53" spans="1:2" ht="12.75">
      <c r="A53" s="97" t="s">
        <v>78</v>
      </c>
      <c r="B53" s="16"/>
    </row>
    <row r="54" spans="1:2" ht="15.75">
      <c r="A54" s="11" t="s">
        <v>10</v>
      </c>
      <c r="B54" s="16"/>
    </row>
    <row r="55" spans="1:7" ht="12.75">
      <c r="A55" s="73" t="str">
        <f>A14</f>
        <v>Driftwood Creek Near McCook</v>
      </c>
      <c r="B55" s="73">
        <f>B14</f>
        <v>2539</v>
      </c>
      <c r="C55">
        <v>1100</v>
      </c>
      <c r="D55">
        <v>1201</v>
      </c>
      <c r="E55">
        <v>1911</v>
      </c>
      <c r="F55">
        <v>1714</v>
      </c>
      <c r="G55">
        <v>4311.31</v>
      </c>
    </row>
    <row r="56" spans="1:7" ht="12.75">
      <c r="A56" s="16" t="s">
        <v>221</v>
      </c>
      <c r="B56" s="73">
        <f>0.24*B18*B11</f>
        <v>0</v>
      </c>
      <c r="C56">
        <v>0</v>
      </c>
      <c r="D56">
        <v>0</v>
      </c>
      <c r="E56">
        <v>0</v>
      </c>
      <c r="F56">
        <v>0</v>
      </c>
      <c r="G56">
        <v>0</v>
      </c>
    </row>
    <row r="57" spans="1:7" ht="12.75">
      <c r="A57" s="16" t="str">
        <f>'NORTH FORK'!A49</f>
        <v>Colorado CBCU</v>
      </c>
      <c r="B57" s="73">
        <f>+B29</f>
        <v>0</v>
      </c>
      <c r="C57">
        <v>0</v>
      </c>
      <c r="D57">
        <v>0</v>
      </c>
      <c r="E57">
        <v>0</v>
      </c>
      <c r="F57">
        <v>0</v>
      </c>
      <c r="G57">
        <v>0</v>
      </c>
    </row>
    <row r="58" spans="1:7" ht="12.75">
      <c r="A58" s="16" t="str">
        <f>'NORTH FORK'!A50</f>
        <v>Kansas CBCU</v>
      </c>
      <c r="B58" s="73">
        <f>+B38</f>
        <v>10</v>
      </c>
      <c r="C58">
        <v>0</v>
      </c>
      <c r="D58">
        <v>10</v>
      </c>
      <c r="E58">
        <v>10</v>
      </c>
      <c r="F58">
        <v>10</v>
      </c>
      <c r="G58">
        <v>10</v>
      </c>
    </row>
    <row r="59" spans="1:7" ht="12.75">
      <c r="A59" s="16" t="str">
        <f>'NORTH FORK'!A51</f>
        <v>Nebraska CBCU</v>
      </c>
      <c r="B59" s="73">
        <f>+B47</f>
        <v>1290</v>
      </c>
      <c r="C59">
        <v>1390</v>
      </c>
      <c r="D59">
        <v>1500</v>
      </c>
      <c r="E59">
        <v>1480</v>
      </c>
      <c r="F59">
        <v>1420</v>
      </c>
      <c r="G59">
        <v>1360</v>
      </c>
    </row>
    <row r="60" spans="1:7" ht="12.75">
      <c r="A60" s="16" t="str">
        <f>'NORTH FORK'!A52</f>
        <v>Imported Water</v>
      </c>
      <c r="B60" s="16">
        <f>+B5</f>
        <v>0</v>
      </c>
      <c r="C60">
        <v>0</v>
      </c>
      <c r="D60">
        <v>0</v>
      </c>
      <c r="E60">
        <v>0</v>
      </c>
      <c r="F60">
        <v>0</v>
      </c>
      <c r="G60">
        <v>0</v>
      </c>
    </row>
    <row r="61" spans="1:7" ht="12.75">
      <c r="A61" s="16" t="str">
        <f>'NORTH FORK'!A53</f>
        <v>Virgin Water Supply</v>
      </c>
      <c r="B61" s="73">
        <f>ROUND(SUM(B55,B57:B59)-B60-B56,-1)</f>
        <v>3840</v>
      </c>
      <c r="C61">
        <v>2490</v>
      </c>
      <c r="D61">
        <v>2710</v>
      </c>
      <c r="E61">
        <v>3400</v>
      </c>
      <c r="F61">
        <v>3140</v>
      </c>
      <c r="G61">
        <v>5680</v>
      </c>
    </row>
    <row r="62" spans="1:7" ht="12.75">
      <c r="A62" s="16" t="str">
        <f>'NORTH FORK'!A54</f>
        <v>Adjustment For Flood Flows</v>
      </c>
      <c r="B62" s="16">
        <f>B24</f>
        <v>0</v>
      </c>
      <c r="C62">
        <v>0</v>
      </c>
      <c r="D62">
        <v>0</v>
      </c>
      <c r="E62">
        <v>0</v>
      </c>
      <c r="F62">
        <v>0</v>
      </c>
      <c r="G62">
        <v>0</v>
      </c>
    </row>
    <row r="63" spans="1:7" ht="12.75">
      <c r="A63" s="16" t="str">
        <f>'NORTH FORK'!A55</f>
        <v>Computed Water Supply</v>
      </c>
      <c r="B63" s="73">
        <f>ROUND(+B61-B62,-1)</f>
        <v>3840</v>
      </c>
      <c r="C63">
        <v>2490</v>
      </c>
      <c r="D63">
        <v>2710</v>
      </c>
      <c r="E63">
        <v>3400</v>
      </c>
      <c r="F63">
        <v>3140</v>
      </c>
      <c r="G63">
        <v>5680</v>
      </c>
    </row>
    <row r="64" spans="1:2" ht="12.75">
      <c r="A64" s="97" t="s">
        <v>78</v>
      </c>
      <c r="B64" s="16"/>
    </row>
    <row r="65" spans="1:2" ht="15.75">
      <c r="A65" s="11" t="s">
        <v>12</v>
      </c>
      <c r="B65" s="13"/>
    </row>
    <row r="66" spans="1:7" ht="12.75">
      <c r="A66" s="16" t="str">
        <f>'NORTH FORK'!A58</f>
        <v>Colorado Percent Of Allocation</v>
      </c>
      <c r="B66" s="123">
        <f>'T2'!$D9</f>
        <v>0</v>
      </c>
      <c r="C66">
        <v>0</v>
      </c>
      <c r="D66">
        <v>0</v>
      </c>
      <c r="E66">
        <v>0</v>
      </c>
      <c r="F66">
        <v>0</v>
      </c>
      <c r="G66">
        <v>0</v>
      </c>
    </row>
    <row r="67" spans="1:7" ht="12.75">
      <c r="A67" s="2" t="str">
        <f>'NORTH FORK'!A59</f>
        <v>Colorado Allocation</v>
      </c>
      <c r="B67" s="4">
        <f>ROUND(+B63*B66,-1)</f>
        <v>0</v>
      </c>
      <c r="C67">
        <v>0</v>
      </c>
      <c r="D67">
        <v>0</v>
      </c>
      <c r="E67">
        <v>0</v>
      </c>
      <c r="F67">
        <v>0</v>
      </c>
      <c r="G67">
        <v>0</v>
      </c>
    </row>
    <row r="68" spans="1:7" ht="12.75">
      <c r="A68" s="2" t="str">
        <f>'NORTH FORK'!A60</f>
        <v>Kansas Percent Of Allocation</v>
      </c>
      <c r="B68" s="15">
        <f>'T2'!$F9</f>
        <v>0.069</v>
      </c>
      <c r="C68">
        <v>0.069</v>
      </c>
      <c r="D68">
        <v>0.069</v>
      </c>
      <c r="E68">
        <v>0.069</v>
      </c>
      <c r="F68">
        <v>0.069</v>
      </c>
      <c r="G68">
        <v>0.069</v>
      </c>
    </row>
    <row r="69" spans="1:7" ht="12.75">
      <c r="A69" s="2" t="str">
        <f>'NORTH FORK'!A61</f>
        <v>Kansas Allocation</v>
      </c>
      <c r="B69" s="4">
        <f>ROUND(B63*B68,-1)</f>
        <v>260</v>
      </c>
      <c r="C69">
        <v>170</v>
      </c>
      <c r="D69">
        <v>190</v>
      </c>
      <c r="E69">
        <v>230</v>
      </c>
      <c r="F69">
        <v>220</v>
      </c>
      <c r="G69">
        <v>390</v>
      </c>
    </row>
    <row r="70" spans="1:7" ht="12.75">
      <c r="A70" s="2" t="str">
        <f>'NORTH FORK'!A62</f>
        <v>Nebraska Percent Of Allocation</v>
      </c>
      <c r="B70" s="15">
        <f>'T2'!$H9</f>
        <v>0.164</v>
      </c>
      <c r="C70">
        <v>0.164</v>
      </c>
      <c r="D70">
        <v>0.164</v>
      </c>
      <c r="E70">
        <v>0.164</v>
      </c>
      <c r="F70">
        <v>0.164</v>
      </c>
      <c r="G70">
        <v>0.164</v>
      </c>
    </row>
    <row r="71" spans="1:7" ht="12.75">
      <c r="A71" s="2" t="str">
        <f>'NORTH FORK'!A63</f>
        <v>Nebraska Allocation</v>
      </c>
      <c r="B71" s="4">
        <f>ROUND(B63*B70,-1)</f>
        <v>630</v>
      </c>
      <c r="C71">
        <v>410</v>
      </c>
      <c r="D71">
        <v>440</v>
      </c>
      <c r="E71">
        <v>560</v>
      </c>
      <c r="F71">
        <v>510</v>
      </c>
      <c r="G71">
        <v>930</v>
      </c>
    </row>
    <row r="72" spans="1:7" ht="12.75">
      <c r="A72" s="2" t="str">
        <f>'NORTH FORK'!A64</f>
        <v>Total Basin Allocation</v>
      </c>
      <c r="B72" s="4">
        <f>+B67+B69+B71</f>
        <v>890</v>
      </c>
      <c r="C72">
        <v>580</v>
      </c>
      <c r="D72">
        <v>630</v>
      </c>
      <c r="E72">
        <v>790</v>
      </c>
      <c r="F72">
        <v>730</v>
      </c>
      <c r="G72">
        <v>1320</v>
      </c>
    </row>
    <row r="73" spans="1:7" ht="12.75">
      <c r="A73" s="2" t="str">
        <f>'NORTH FORK'!A65</f>
        <v>Percent Of Supply Not Allocated</v>
      </c>
      <c r="B73" s="15">
        <f>'T2'!$J9</f>
        <v>0.767</v>
      </c>
      <c r="C73">
        <v>0.767</v>
      </c>
      <c r="D73">
        <v>0.767</v>
      </c>
      <c r="E73">
        <v>0.767</v>
      </c>
      <c r="F73">
        <v>0.767</v>
      </c>
      <c r="G73">
        <v>0.767</v>
      </c>
    </row>
    <row r="74" spans="1:7" ht="12.75">
      <c r="A74" s="2" t="str">
        <f>'NORTH FORK'!A66</f>
        <v>Quantity Of Unallocated Supply</v>
      </c>
      <c r="B74" s="4">
        <f>+B63-B67-B69-B71</f>
        <v>2950</v>
      </c>
      <c r="C74">
        <v>1910</v>
      </c>
      <c r="D74">
        <v>2080</v>
      </c>
      <c r="E74">
        <v>2610</v>
      </c>
      <c r="F74">
        <v>2410</v>
      </c>
      <c r="G74">
        <v>4360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xl/worksheets/sheet11.xml><?xml version="1.0" encoding="utf-8"?>
<worksheet xmlns="http://schemas.openxmlformats.org/spreadsheetml/2006/main" xmlns:r="http://schemas.openxmlformats.org/officeDocument/2006/relationships">
  <sheetPr codeName="Sheet10">
    <pageSetUpPr fitToPage="1"/>
  </sheetPr>
  <dimension ref="A1:G72"/>
  <sheetViews>
    <sheetView zoomScalePageLayoutView="0" workbookViewId="0" topLeftCell="A1">
      <selection activeCell="G1" sqref="G1:G16384"/>
    </sheetView>
  </sheetViews>
  <sheetFormatPr defaultColWidth="9.140625" defaultRowHeight="12.75"/>
  <cols>
    <col min="1" max="1" width="74.7109375" style="0" customWidth="1"/>
    <col min="2" max="2" width="10.00390625" style="0" customWidth="1"/>
  </cols>
  <sheetData>
    <row r="1" spans="1:7" ht="15.75">
      <c r="A1" s="59" t="s">
        <v>219</v>
      </c>
      <c r="B1" s="5">
        <v>2008</v>
      </c>
      <c r="C1">
        <v>2003</v>
      </c>
      <c r="D1">
        <v>2004</v>
      </c>
      <c r="E1" s="275">
        <v>2005</v>
      </c>
      <c r="F1" s="275">
        <v>2006</v>
      </c>
      <c r="G1" s="275">
        <v>2007</v>
      </c>
    </row>
    <row r="2" ht="12.75"/>
    <row r="3" spans="1:2" ht="15.75">
      <c r="A3" s="10" t="s">
        <v>171</v>
      </c>
      <c r="B3" s="294"/>
    </row>
    <row r="4" spans="1:2" ht="12.75">
      <c r="A4" s="8" t="s">
        <v>172</v>
      </c>
      <c r="B4" s="295"/>
    </row>
    <row r="5" spans="1:7" ht="12.75">
      <c r="A5" s="52" t="str">
        <f>+INPUT!B53</f>
        <v>Imported Water Nebraska</v>
      </c>
      <c r="B5" s="52">
        <f>+INPUT!C53</f>
        <v>42</v>
      </c>
      <c r="C5">
        <v>20</v>
      </c>
      <c r="D5">
        <v>25</v>
      </c>
      <c r="E5">
        <v>35</v>
      </c>
      <c r="F5">
        <v>25</v>
      </c>
      <c r="G5">
        <v>43</v>
      </c>
    </row>
    <row r="6" spans="1:7" ht="12.75">
      <c r="A6" s="52" t="str">
        <f>+INPUT!B25</f>
        <v>GW CBCU Colorado</v>
      </c>
      <c r="B6" s="52">
        <f>+INPUT!C25</f>
        <v>0</v>
      </c>
      <c r="C6">
        <v>0</v>
      </c>
      <c r="D6">
        <v>0</v>
      </c>
      <c r="E6">
        <v>0</v>
      </c>
      <c r="F6">
        <v>0</v>
      </c>
      <c r="G6">
        <v>0</v>
      </c>
    </row>
    <row r="7" spans="1:7" ht="12.75">
      <c r="A7" s="52" t="str">
        <f>+INPUT!B26</f>
        <v>GW CBCU Kansas</v>
      </c>
      <c r="B7" s="52">
        <f>+INPUT!C26</f>
        <v>0</v>
      </c>
      <c r="C7">
        <v>0</v>
      </c>
      <c r="D7">
        <v>0</v>
      </c>
      <c r="E7">
        <v>0</v>
      </c>
      <c r="F7">
        <v>0</v>
      </c>
      <c r="G7">
        <v>0</v>
      </c>
    </row>
    <row r="8" spans="1:7" ht="12" customHeight="1">
      <c r="A8" s="52" t="str">
        <f>+INPUT!B27</f>
        <v>GW CBCU Nebraska</v>
      </c>
      <c r="B8" s="52">
        <f>+INPUT!C27</f>
        <v>9006</v>
      </c>
      <c r="C8">
        <v>7815</v>
      </c>
      <c r="D8">
        <v>8221</v>
      </c>
      <c r="E8">
        <v>8305</v>
      </c>
      <c r="F8">
        <v>7746</v>
      </c>
      <c r="G8">
        <v>9354</v>
      </c>
    </row>
    <row r="9" spans="1:2" ht="12" customHeight="1">
      <c r="A9" s="9" t="s">
        <v>78</v>
      </c>
      <c r="B9" s="9"/>
    </row>
    <row r="10" spans="1:2" ht="12.75">
      <c r="A10" s="5" t="s">
        <v>206</v>
      </c>
      <c r="B10" s="2"/>
    </row>
    <row r="11" spans="1:7" ht="12.75">
      <c r="A11" s="57" t="str">
        <f>+INPUT!B244</f>
        <v>Red Willow Canal % Return Flow</v>
      </c>
      <c r="B11" s="57">
        <f>+INPUT!C244</f>
        <v>0.6494424064563462</v>
      </c>
      <c r="C11">
        <v>1</v>
      </c>
      <c r="D11">
        <v>1</v>
      </c>
      <c r="E11">
        <v>1</v>
      </c>
      <c r="F11">
        <v>1</v>
      </c>
      <c r="G11">
        <v>1</v>
      </c>
    </row>
    <row r="12" spans="1:2" ht="12.75">
      <c r="A12" s="2" t="s">
        <v>78</v>
      </c>
      <c r="B12" s="2"/>
    </row>
    <row r="13" spans="1:2" ht="12.75">
      <c r="A13" s="5" t="s">
        <v>174</v>
      </c>
      <c r="B13" s="2"/>
    </row>
    <row r="14" spans="1:7" ht="12.75">
      <c r="A14" s="52" t="str">
        <f>+INPUT!B190</f>
        <v>Red Willow Creek Near Red Willow</v>
      </c>
      <c r="B14" s="58">
        <f>+INPUT!C190</f>
        <v>12419</v>
      </c>
      <c r="C14">
        <v>3970</v>
      </c>
      <c r="D14">
        <v>3555</v>
      </c>
      <c r="E14">
        <v>3791</v>
      </c>
      <c r="F14">
        <v>10018</v>
      </c>
      <c r="G14">
        <v>6618.43</v>
      </c>
    </row>
    <row r="15" spans="1:7" ht="12.75">
      <c r="A15" s="52" t="str">
        <f>+INPUT!B218</f>
        <v>Hugh Butler Lake Evaporation</v>
      </c>
      <c r="B15" s="52">
        <f>+INPUT!C218</f>
        <v>1202.3989166666668</v>
      </c>
      <c r="C15">
        <v>2377</v>
      </c>
      <c r="D15">
        <v>2025.5</v>
      </c>
      <c r="E15">
        <v>2230.2614166666667</v>
      </c>
      <c r="F15">
        <v>2493.6514999999995</v>
      </c>
      <c r="G15">
        <v>2368.7</v>
      </c>
    </row>
    <row r="16" spans="1:7" ht="12.75">
      <c r="A16" s="52" t="str">
        <f>+INPUT!B219</f>
        <v>Hugh Butler Lake Change In Storage</v>
      </c>
      <c r="B16" s="52">
        <f>+INPUT!C219</f>
        <v>1500</v>
      </c>
      <c r="C16">
        <v>2947</v>
      </c>
      <c r="D16">
        <v>2800</v>
      </c>
      <c r="E16">
        <v>1800</v>
      </c>
      <c r="F16">
        <v>-7100</v>
      </c>
      <c r="G16">
        <v>11900</v>
      </c>
    </row>
    <row r="17" spans="1:7" ht="12.75">
      <c r="A17" s="52" t="str">
        <f>+INPUT!B243</f>
        <v>Red Willow Canal Diversions</v>
      </c>
      <c r="B17" s="52">
        <f>+INPUT!C243</f>
        <v>4089</v>
      </c>
      <c r="C17">
        <v>0</v>
      </c>
      <c r="D17">
        <v>0</v>
      </c>
      <c r="E17">
        <v>0</v>
      </c>
      <c r="F17">
        <v>0</v>
      </c>
      <c r="G17">
        <v>0</v>
      </c>
    </row>
    <row r="18" spans="1:7" ht="12.75">
      <c r="A18" s="104" t="str">
        <f>+INPUT!B101</f>
        <v>SW Diversions - Irrigation - Non-Federal Canals - Nebraska</v>
      </c>
      <c r="B18" s="104">
        <f>+INPUT!C101</f>
        <v>0</v>
      </c>
      <c r="C18">
        <v>0</v>
      </c>
      <c r="D18">
        <v>0</v>
      </c>
      <c r="E18">
        <v>0</v>
      </c>
      <c r="F18">
        <v>0</v>
      </c>
      <c r="G18">
        <v>0</v>
      </c>
    </row>
    <row r="19" spans="1:7" ht="12.75">
      <c r="A19" s="104" t="str">
        <f>+INPUT!B102</f>
        <v>SW Diversions - Irrigation - Small Pumps - Nebraska</v>
      </c>
      <c r="B19" s="104">
        <f>+INPUT!C102</f>
        <v>0</v>
      </c>
      <c r="C19">
        <v>341</v>
      </c>
      <c r="D19">
        <v>167</v>
      </c>
      <c r="E19">
        <v>123.25</v>
      </c>
      <c r="F19">
        <v>121</v>
      </c>
      <c r="G19">
        <v>0</v>
      </c>
    </row>
    <row r="20" spans="1:7" ht="12.75">
      <c r="A20" s="104" t="str">
        <f>+INPUT!B103</f>
        <v>SW Diversions - M&amp;I - Nebraska</v>
      </c>
      <c r="B20" s="104">
        <f>+INPUT!C103</f>
        <v>0</v>
      </c>
      <c r="C20">
        <v>0</v>
      </c>
      <c r="D20">
        <v>0</v>
      </c>
      <c r="E20">
        <v>0</v>
      </c>
      <c r="F20">
        <v>0</v>
      </c>
      <c r="G20">
        <v>0</v>
      </c>
    </row>
    <row r="21" spans="1:7" ht="12.75">
      <c r="A21" s="104" t="str">
        <f>+INPUT!B166</f>
        <v>Non-Federal Reservoir Evaporation - Nebraska</v>
      </c>
      <c r="B21" s="104">
        <f>+INPUT!C166</f>
        <v>40</v>
      </c>
      <c r="C21">
        <v>0</v>
      </c>
      <c r="D21">
        <v>155.4</v>
      </c>
      <c r="E21">
        <v>181.9</v>
      </c>
      <c r="F21">
        <v>22.89</v>
      </c>
      <c r="G21">
        <v>75</v>
      </c>
    </row>
    <row r="22" spans="1:7" ht="12.75">
      <c r="A22" s="104" t="str">
        <f>+INPUT!B206</f>
        <v>Red Willow Flood Flow</v>
      </c>
      <c r="B22" s="104">
        <f>+INPUT!C206</f>
        <v>0</v>
      </c>
      <c r="C22">
        <v>0</v>
      </c>
      <c r="D22">
        <v>0</v>
      </c>
      <c r="E22">
        <v>0</v>
      </c>
      <c r="F22">
        <v>0</v>
      </c>
      <c r="G22">
        <v>0</v>
      </c>
    </row>
    <row r="23" spans="1:2" ht="12.75">
      <c r="A23" s="119" t="s">
        <v>78</v>
      </c>
      <c r="B23" s="16"/>
    </row>
    <row r="24" spans="1:2" ht="15.75">
      <c r="A24" s="10" t="s">
        <v>255</v>
      </c>
      <c r="B24" s="16"/>
    </row>
    <row r="25" spans="1:2" ht="12.75">
      <c r="A25" s="8" t="s">
        <v>0</v>
      </c>
      <c r="B25" s="16"/>
    </row>
    <row r="26" spans="1:7" ht="12.75">
      <c r="A26" s="16" t="str">
        <f>'NORTH FORK'!A28</f>
        <v>GW CBCU</v>
      </c>
      <c r="B26" s="16">
        <f>+B6</f>
        <v>0</v>
      </c>
      <c r="C26">
        <v>0</v>
      </c>
      <c r="D26">
        <v>0</v>
      </c>
      <c r="E26">
        <v>0</v>
      </c>
      <c r="F26">
        <v>0</v>
      </c>
      <c r="G26">
        <v>0</v>
      </c>
    </row>
    <row r="27" spans="1:7" ht="12.75">
      <c r="A27" s="16" t="str">
        <f>'NORTH FORK'!A29</f>
        <v>Total CBCU</v>
      </c>
      <c r="B27" s="73">
        <f>(ROUND(SUM(B26:B26),-1))</f>
        <v>0</v>
      </c>
      <c r="C27">
        <v>0</v>
      </c>
      <c r="D27">
        <v>0</v>
      </c>
      <c r="E27">
        <v>0</v>
      </c>
      <c r="F27">
        <v>0</v>
      </c>
      <c r="G27">
        <v>0</v>
      </c>
    </row>
    <row r="28" spans="1:2" ht="12.75">
      <c r="A28" s="16" t="s">
        <v>78</v>
      </c>
      <c r="B28" s="16"/>
    </row>
    <row r="29" spans="1:2" ht="12.75">
      <c r="A29" s="8" t="s">
        <v>175</v>
      </c>
      <c r="B29" s="16"/>
    </row>
    <row r="30" spans="1:7" ht="12.75">
      <c r="A30" s="16" t="str">
        <f>'NORTH FORK'!A32</f>
        <v>GW CBCU</v>
      </c>
      <c r="B30" s="16">
        <f>+B7</f>
        <v>0</v>
      </c>
      <c r="C30">
        <v>0</v>
      </c>
      <c r="D30">
        <v>0</v>
      </c>
      <c r="E30">
        <v>0</v>
      </c>
      <c r="F30">
        <v>0</v>
      </c>
      <c r="G30">
        <v>0</v>
      </c>
    </row>
    <row r="31" spans="1:7" ht="12.75">
      <c r="A31" s="16" t="str">
        <f>'NORTH FORK'!A33</f>
        <v>Total CBCU</v>
      </c>
      <c r="B31" s="73">
        <f>(ROUND(SUM(B30:B30),-1))</f>
        <v>0</v>
      </c>
      <c r="C31">
        <v>0</v>
      </c>
      <c r="D31">
        <v>0</v>
      </c>
      <c r="E31">
        <v>0</v>
      </c>
      <c r="F31">
        <v>0</v>
      </c>
      <c r="G31">
        <v>0</v>
      </c>
    </row>
    <row r="32" spans="1:2" ht="12.75">
      <c r="A32" s="16" t="s">
        <v>78</v>
      </c>
      <c r="B32" s="16"/>
    </row>
    <row r="33" spans="1:2" ht="12.75">
      <c r="A33" s="8" t="s">
        <v>1</v>
      </c>
      <c r="B33" s="16"/>
    </row>
    <row r="34" spans="1:7" ht="12.75">
      <c r="A34" s="16" t="str">
        <f>((LEFT(A17,16)&amp;" "&amp;"CBCU (10%)"))</f>
        <v>Red Willow Canal CBCU (10%)</v>
      </c>
      <c r="B34" s="16">
        <f>+(B17*(1-B11))*0.1</f>
        <v>143.34300000000005</v>
      </c>
      <c r="C34">
        <v>0</v>
      </c>
      <c r="D34">
        <v>0</v>
      </c>
      <c r="E34">
        <v>0</v>
      </c>
      <c r="F34">
        <v>0</v>
      </c>
      <c r="G34">
        <v>0</v>
      </c>
    </row>
    <row r="35" spans="1:7" ht="12.75">
      <c r="A35" s="16" t="str">
        <f>'NORTH FORK'!A23</f>
        <v>SW CBCU - Irrigation - Non Federal Canals</v>
      </c>
      <c r="B35" s="73">
        <f>B18*CanalCUPercent</f>
        <v>0</v>
      </c>
      <c r="C35">
        <v>0</v>
      </c>
      <c r="D35">
        <v>0</v>
      </c>
      <c r="E35">
        <v>0</v>
      </c>
      <c r="F35">
        <v>0</v>
      </c>
      <c r="G35">
        <v>0</v>
      </c>
    </row>
    <row r="36" spans="1:7" ht="12.75">
      <c r="A36" s="16" t="str">
        <f>'NORTH FORK'!A24</f>
        <v>SW CBCU - Irrigation - Small Pumps</v>
      </c>
      <c r="B36" s="73">
        <f>B19*PumperCUPercent</f>
        <v>0</v>
      </c>
      <c r="C36">
        <v>255.75</v>
      </c>
      <c r="D36">
        <v>125.25</v>
      </c>
      <c r="E36">
        <v>92.4375</v>
      </c>
      <c r="F36">
        <v>90.75</v>
      </c>
      <c r="G36">
        <v>0</v>
      </c>
    </row>
    <row r="37" spans="1:7" ht="12.75">
      <c r="A37" s="16" t="str">
        <f>'NORTH FORK'!A25</f>
        <v>SW CBCU - M&amp;I</v>
      </c>
      <c r="B37" s="16">
        <f>B20*MI_CUPercent</f>
        <v>0</v>
      </c>
      <c r="C37">
        <v>0</v>
      </c>
      <c r="D37">
        <v>0</v>
      </c>
      <c r="E37">
        <v>0</v>
      </c>
      <c r="F37">
        <v>0</v>
      </c>
      <c r="G37">
        <v>0</v>
      </c>
    </row>
    <row r="38" spans="1:7" ht="12.75">
      <c r="A38" s="16" t="str">
        <f>(LEFT(A15,28))&amp;" "&amp;"(10%)"</f>
        <v>Hugh Butler Lake Evaporation (10%)</v>
      </c>
      <c r="B38" s="73">
        <f>+B15*0.1</f>
        <v>120.23989166666668</v>
      </c>
      <c r="C38">
        <v>237.7</v>
      </c>
      <c r="D38">
        <v>202.55</v>
      </c>
      <c r="E38">
        <v>223.0261416666667</v>
      </c>
      <c r="F38">
        <v>249.36514999999997</v>
      </c>
      <c r="G38">
        <v>236.87</v>
      </c>
    </row>
    <row r="39" spans="1:7" ht="12.75">
      <c r="A39" s="97" t="str">
        <f>'NORTH FORK'!A26</f>
        <v>Non-Federal Reservoir Evaporation</v>
      </c>
      <c r="B39" s="16">
        <f>B21</f>
        <v>40</v>
      </c>
      <c r="C39">
        <v>0</v>
      </c>
      <c r="D39">
        <v>155.4</v>
      </c>
      <c r="E39">
        <v>181.9</v>
      </c>
      <c r="F39">
        <v>22.89</v>
      </c>
      <c r="G39">
        <v>75</v>
      </c>
    </row>
    <row r="40" spans="1:7" ht="12.75">
      <c r="A40" s="16" t="str">
        <f>'NORTH FORK'!A27</f>
        <v>SW CBCU</v>
      </c>
      <c r="B40" s="73">
        <f>B34+B35+B36+B37+B38+B39</f>
        <v>303.58289166666674</v>
      </c>
      <c r="C40">
        <v>493.45</v>
      </c>
      <c r="D40">
        <v>483.2</v>
      </c>
      <c r="E40">
        <v>497.3636416666667</v>
      </c>
      <c r="F40">
        <v>363.00514999999996</v>
      </c>
      <c r="G40">
        <v>311.87</v>
      </c>
    </row>
    <row r="41" spans="1:7" ht="12.75">
      <c r="A41" s="16" t="str">
        <f>'NORTH FORK'!A28</f>
        <v>GW CBCU</v>
      </c>
      <c r="B41" s="16">
        <f>+B8</f>
        <v>9006</v>
      </c>
      <c r="C41">
        <v>7815</v>
      </c>
      <c r="D41">
        <v>8221</v>
      </c>
      <c r="E41">
        <v>8305</v>
      </c>
      <c r="F41">
        <v>7746</v>
      </c>
      <c r="G41">
        <v>9354</v>
      </c>
    </row>
    <row r="42" spans="1:7" ht="12.75">
      <c r="A42" s="16" t="str">
        <f>'NORTH FORK'!A29</f>
        <v>Total CBCU</v>
      </c>
      <c r="B42" s="73">
        <f>(ROUND(SUM(B40:B41),-1))</f>
        <v>9310</v>
      </c>
      <c r="C42">
        <v>8310</v>
      </c>
      <c r="D42">
        <v>8700</v>
      </c>
      <c r="E42">
        <v>8800</v>
      </c>
      <c r="F42">
        <v>8110</v>
      </c>
      <c r="G42">
        <v>9670</v>
      </c>
    </row>
    <row r="43" spans="1:2" ht="12.75">
      <c r="A43" s="97" t="s">
        <v>78</v>
      </c>
      <c r="B43" s="16"/>
    </row>
    <row r="44" spans="1:2" ht="12.75">
      <c r="A44" s="5" t="s">
        <v>176</v>
      </c>
      <c r="B44" s="16"/>
    </row>
    <row r="45" spans="1:7" ht="12.75">
      <c r="A45" s="97" t="str">
        <f>'NORTH FORK'!A42</f>
        <v>Total SW CBCU</v>
      </c>
      <c r="B45" s="73">
        <f>+B40</f>
        <v>303.58289166666674</v>
      </c>
      <c r="C45">
        <v>493.45</v>
      </c>
      <c r="D45">
        <v>483.2</v>
      </c>
      <c r="E45">
        <v>497.3636416666667</v>
      </c>
      <c r="F45">
        <v>363.00514999999996</v>
      </c>
      <c r="G45">
        <v>311.87</v>
      </c>
    </row>
    <row r="46" spans="1:7" ht="12.75">
      <c r="A46" s="97" t="str">
        <f>'NORTH FORK'!A43</f>
        <v>Total GW CBCU</v>
      </c>
      <c r="B46" s="73">
        <f>+B26+B30+B41</f>
        <v>9006</v>
      </c>
      <c r="C46">
        <v>7815</v>
      </c>
      <c r="D46">
        <v>8221</v>
      </c>
      <c r="E46">
        <v>8305</v>
      </c>
      <c r="F46">
        <v>7746</v>
      </c>
      <c r="G46">
        <v>9354</v>
      </c>
    </row>
    <row r="47" spans="1:7" ht="12.75">
      <c r="A47" s="97" t="str">
        <f>'NORTH FORK'!A44</f>
        <v>Total Basin CBCU</v>
      </c>
      <c r="B47" s="73">
        <f>(ROUND(SUM(B45:B46),-1))</f>
        <v>9310</v>
      </c>
      <c r="C47">
        <v>8310</v>
      </c>
      <c r="D47">
        <v>8700</v>
      </c>
      <c r="E47">
        <v>8800</v>
      </c>
      <c r="F47">
        <v>8110</v>
      </c>
      <c r="G47">
        <v>9670</v>
      </c>
    </row>
    <row r="48" spans="1:2" ht="12.75">
      <c r="A48" s="97" t="s">
        <v>78</v>
      </c>
      <c r="B48" s="16"/>
    </row>
    <row r="49" spans="1:2" ht="15.75">
      <c r="A49" s="11" t="s">
        <v>10</v>
      </c>
      <c r="B49" s="16"/>
    </row>
    <row r="50" spans="1:7" ht="12.75">
      <c r="A50" s="73" t="str">
        <f>A14</f>
        <v>Red Willow Creek Near Red Willow</v>
      </c>
      <c r="B50" s="73">
        <f>B14</f>
        <v>12419</v>
      </c>
      <c r="C50">
        <v>3970</v>
      </c>
      <c r="D50">
        <v>3555</v>
      </c>
      <c r="E50">
        <v>3791</v>
      </c>
      <c r="F50">
        <v>10018</v>
      </c>
      <c r="G50">
        <v>6618.43</v>
      </c>
    </row>
    <row r="51" spans="1:7" ht="12.75">
      <c r="A51" s="16" t="str">
        <f>(LEFT(A34,22))&amp;" "&amp;"(90%)"</f>
        <v>Red Willow Canal CBCU  (90%)</v>
      </c>
      <c r="B51" s="73">
        <f>0.9*(B17*(1-B11))</f>
        <v>1290.0870000000002</v>
      </c>
      <c r="C51">
        <v>0</v>
      </c>
      <c r="D51">
        <v>0</v>
      </c>
      <c r="E51">
        <v>0</v>
      </c>
      <c r="F51">
        <v>0</v>
      </c>
      <c r="G51">
        <v>0</v>
      </c>
    </row>
    <row r="52" spans="1:7" ht="12.75">
      <c r="A52" s="16" t="str">
        <f>'NORTH FORK'!A49</f>
        <v>Colorado CBCU</v>
      </c>
      <c r="B52" s="73">
        <f>+B27</f>
        <v>0</v>
      </c>
      <c r="C52">
        <v>0</v>
      </c>
      <c r="D52">
        <v>0</v>
      </c>
      <c r="E52">
        <v>0</v>
      </c>
      <c r="F52">
        <v>0</v>
      </c>
      <c r="G52">
        <v>0</v>
      </c>
    </row>
    <row r="53" spans="1:7" ht="12.75">
      <c r="A53" s="16" t="str">
        <f>'NORTH FORK'!A50</f>
        <v>Kansas CBCU</v>
      </c>
      <c r="B53" s="73">
        <f>+B31</f>
        <v>0</v>
      </c>
      <c r="C53">
        <v>0</v>
      </c>
      <c r="D53">
        <v>0</v>
      </c>
      <c r="E53">
        <v>0</v>
      </c>
      <c r="F53">
        <v>0</v>
      </c>
      <c r="G53">
        <v>0</v>
      </c>
    </row>
    <row r="54" spans="1:7" ht="12.75">
      <c r="A54" s="16" t="str">
        <f>'NORTH FORK'!A51</f>
        <v>Nebraska CBCU</v>
      </c>
      <c r="B54" s="73">
        <f>+B42</f>
        <v>9310</v>
      </c>
      <c r="C54">
        <v>8310</v>
      </c>
      <c r="D54">
        <v>8700</v>
      </c>
      <c r="E54">
        <v>8800</v>
      </c>
      <c r="F54">
        <v>8110</v>
      </c>
      <c r="G54">
        <v>9670</v>
      </c>
    </row>
    <row r="55" spans="1:7" ht="12.75">
      <c r="A55" s="16" t="str">
        <f>A16</f>
        <v>Hugh Butler Lake Change In Storage</v>
      </c>
      <c r="B55" s="16">
        <f>+B16</f>
        <v>1500</v>
      </c>
      <c r="C55">
        <v>2947</v>
      </c>
      <c r="D55">
        <v>2800</v>
      </c>
      <c r="E55">
        <v>1800</v>
      </c>
      <c r="F55">
        <v>-7100</v>
      </c>
      <c r="G55">
        <v>11900</v>
      </c>
    </row>
    <row r="56" spans="1:7" ht="12.75">
      <c r="A56" s="16" t="str">
        <f>(LEFT(A15,28))&amp;" "&amp;"(90%)"</f>
        <v>Hugh Butler Lake Evaporation (90%)</v>
      </c>
      <c r="B56" s="16">
        <f>+B15*0.9</f>
        <v>1082.1590250000002</v>
      </c>
      <c r="C56">
        <v>2139.3</v>
      </c>
      <c r="D56">
        <v>1822.95</v>
      </c>
      <c r="E56">
        <v>2007.235275</v>
      </c>
      <c r="F56">
        <v>2244.2863499999994</v>
      </c>
      <c r="G56">
        <v>2131.83</v>
      </c>
    </row>
    <row r="57" spans="1:7" ht="12.75">
      <c r="A57" s="16" t="s">
        <v>240</v>
      </c>
      <c r="B57" s="16">
        <f>0.9*(B17*B11)</f>
        <v>2390.013</v>
      </c>
      <c r="C57">
        <v>0</v>
      </c>
      <c r="D57">
        <v>0</v>
      </c>
      <c r="E57">
        <v>0</v>
      </c>
      <c r="F57">
        <v>0</v>
      </c>
      <c r="G57">
        <v>0</v>
      </c>
    </row>
    <row r="58" spans="1:7" ht="12.75">
      <c r="A58" s="16" t="str">
        <f>'NORTH FORK'!A52</f>
        <v>Imported Water</v>
      </c>
      <c r="B58" s="16">
        <f>+B5</f>
        <v>42</v>
      </c>
      <c r="C58">
        <v>20</v>
      </c>
      <c r="D58">
        <v>25</v>
      </c>
      <c r="E58">
        <v>35</v>
      </c>
      <c r="F58">
        <v>25</v>
      </c>
      <c r="G58">
        <v>43</v>
      </c>
    </row>
    <row r="59" spans="1:7" ht="12.75">
      <c r="A59" s="16" t="str">
        <f>'NORTH FORK'!A53</f>
        <v>Virgin Water Supply</v>
      </c>
      <c r="B59" s="73">
        <f>ROUND(B50+B52+B53+B54+B51+B56+B57+B55-B58,-1)</f>
        <v>27950</v>
      </c>
      <c r="C59">
        <v>17350</v>
      </c>
      <c r="D59">
        <v>16850</v>
      </c>
      <c r="E59">
        <v>16360</v>
      </c>
      <c r="F59">
        <v>13250</v>
      </c>
      <c r="G59">
        <v>30280</v>
      </c>
    </row>
    <row r="60" spans="1:7" ht="12.75">
      <c r="A60" s="16" t="str">
        <f>'NORTH FORK'!A54</f>
        <v>Adjustment For Flood Flows</v>
      </c>
      <c r="B60" s="16">
        <f>B22</f>
        <v>0</v>
      </c>
      <c r="C60">
        <v>0</v>
      </c>
      <c r="D60">
        <v>0</v>
      </c>
      <c r="E60">
        <v>0</v>
      </c>
      <c r="F60">
        <v>0</v>
      </c>
      <c r="G60">
        <v>0</v>
      </c>
    </row>
    <row r="61" spans="1:7" ht="12.75">
      <c r="A61" s="16" t="str">
        <f>'NORTH FORK'!A55</f>
        <v>Computed Water Supply</v>
      </c>
      <c r="B61" s="73">
        <f>ROUND(+B59-B60-B55,-1)</f>
        <v>26450</v>
      </c>
      <c r="C61">
        <v>14400</v>
      </c>
      <c r="D61">
        <v>14050</v>
      </c>
      <c r="E61">
        <v>14560</v>
      </c>
      <c r="F61">
        <v>20350</v>
      </c>
      <c r="G61">
        <v>18380</v>
      </c>
    </row>
    <row r="62" spans="1:2" ht="12.75">
      <c r="A62" s="97" t="s">
        <v>78</v>
      </c>
      <c r="B62" s="16"/>
    </row>
    <row r="63" spans="1:7" ht="15.75">
      <c r="A63" s="11" t="s">
        <v>12</v>
      </c>
      <c r="B63" s="13">
        <f>'T2'!F5</f>
        <v>0</v>
      </c>
      <c r="F63">
        <v>0</v>
      </c>
      <c r="G63">
        <v>0</v>
      </c>
    </row>
    <row r="64" spans="1:7" ht="12.75">
      <c r="A64" s="16" t="str">
        <f>'NORTH FORK'!A58</f>
        <v>Colorado Percent Of Allocation</v>
      </c>
      <c r="B64" s="123">
        <f>'T2'!$D10</f>
        <v>0</v>
      </c>
      <c r="C64">
        <v>0</v>
      </c>
      <c r="D64">
        <v>0</v>
      </c>
      <c r="E64">
        <v>0</v>
      </c>
      <c r="F64">
        <v>0</v>
      </c>
      <c r="G64">
        <v>0</v>
      </c>
    </row>
    <row r="65" spans="1:7" ht="12.75">
      <c r="A65" s="16" t="str">
        <f>'NORTH FORK'!A59</f>
        <v>Colorado Allocation</v>
      </c>
      <c r="B65" s="73">
        <f>'T2'!H5</f>
        <v>0.33</v>
      </c>
      <c r="C65">
        <v>0</v>
      </c>
      <c r="D65">
        <v>0</v>
      </c>
      <c r="E65">
        <v>0</v>
      </c>
      <c r="F65">
        <v>0.33</v>
      </c>
      <c r="G65">
        <v>0.33</v>
      </c>
    </row>
    <row r="66" spans="1:7" ht="12.75">
      <c r="A66" s="16" t="str">
        <f>'NORTH FORK'!A60</f>
        <v>Kansas Percent Of Allocation</v>
      </c>
      <c r="B66" s="123">
        <f>'T2'!$F10</f>
        <v>0</v>
      </c>
      <c r="C66">
        <v>0</v>
      </c>
      <c r="D66">
        <v>0</v>
      </c>
      <c r="E66">
        <v>0</v>
      </c>
      <c r="F66">
        <v>0</v>
      </c>
      <c r="G66">
        <v>0</v>
      </c>
    </row>
    <row r="67" spans="1:7" ht="12.75">
      <c r="A67" s="16" t="str">
        <f>'NORTH FORK'!A61</f>
        <v>Kansas Allocation</v>
      </c>
      <c r="B67" s="73">
        <f>ROUND(B61*B66,-1)</f>
        <v>0</v>
      </c>
      <c r="C67">
        <v>0</v>
      </c>
      <c r="D67">
        <v>0</v>
      </c>
      <c r="E67">
        <v>0</v>
      </c>
      <c r="F67">
        <v>0</v>
      </c>
      <c r="G67">
        <v>0</v>
      </c>
    </row>
    <row r="68" spans="1:7" ht="12.75">
      <c r="A68" s="16" t="str">
        <f>'NORTH FORK'!A62</f>
        <v>Nebraska Percent Of Allocation</v>
      </c>
      <c r="B68" s="123">
        <f>'T2'!H10</f>
        <v>0.192</v>
      </c>
      <c r="C68">
        <v>0.192</v>
      </c>
      <c r="D68">
        <v>0.192</v>
      </c>
      <c r="E68">
        <v>0.192</v>
      </c>
      <c r="F68">
        <v>0.192</v>
      </c>
      <c r="G68">
        <v>0.192</v>
      </c>
    </row>
    <row r="69" spans="1:7" ht="12.75">
      <c r="A69" s="16" t="str">
        <f>'NORTH FORK'!A63</f>
        <v>Nebraska Allocation</v>
      </c>
      <c r="B69" s="73">
        <f>ROUND(B61*B68,-1)</f>
        <v>5080</v>
      </c>
      <c r="C69">
        <v>2760</v>
      </c>
      <c r="D69">
        <v>2700</v>
      </c>
      <c r="E69">
        <v>2800</v>
      </c>
      <c r="F69">
        <v>3910</v>
      </c>
      <c r="G69">
        <v>3530</v>
      </c>
    </row>
    <row r="70" spans="1:7" ht="12.75">
      <c r="A70" s="2" t="str">
        <f>'NORTH FORK'!A64</f>
        <v>Total Basin Allocation</v>
      </c>
      <c r="B70" s="4">
        <f>+B65+B67+B69</f>
        <v>5080.33</v>
      </c>
      <c r="C70">
        <v>2760</v>
      </c>
      <c r="D70">
        <v>2700</v>
      </c>
      <c r="E70">
        <v>2800</v>
      </c>
      <c r="F70">
        <v>3910.33</v>
      </c>
      <c r="G70">
        <v>3530.33</v>
      </c>
    </row>
    <row r="71" spans="1:7" ht="12.75">
      <c r="A71" s="2" t="str">
        <f>'NORTH FORK'!A65</f>
        <v>Percent Of Supply Not Allocated</v>
      </c>
      <c r="B71" s="15">
        <f>'T2'!J10</f>
        <v>0.808</v>
      </c>
      <c r="C71">
        <v>0.808</v>
      </c>
      <c r="D71">
        <v>0.808</v>
      </c>
      <c r="E71">
        <v>0.808</v>
      </c>
      <c r="F71">
        <v>0.808</v>
      </c>
      <c r="G71">
        <v>0.808</v>
      </c>
    </row>
    <row r="72" spans="1:7" ht="12.75">
      <c r="A72" s="2" t="str">
        <f>'NORTH FORK'!A66</f>
        <v>Quantity Of Unallocated Supply</v>
      </c>
      <c r="B72" s="4">
        <f>+B61-B65-B67-B69</f>
        <v>21369.67</v>
      </c>
      <c r="C72">
        <v>11640</v>
      </c>
      <c r="D72">
        <v>11350</v>
      </c>
      <c r="E72">
        <v>11760</v>
      </c>
      <c r="F72">
        <v>16439.67</v>
      </c>
      <c r="G72">
        <v>14849.669999999998</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G180"/>
  <sheetViews>
    <sheetView zoomScalePageLayoutView="0" workbookViewId="0" topLeftCell="A1">
      <selection activeCell="B22" sqref="B22"/>
    </sheetView>
  </sheetViews>
  <sheetFormatPr defaultColWidth="9.140625" defaultRowHeight="12.75"/>
  <cols>
    <col min="1" max="1" width="74.7109375" style="0" customWidth="1"/>
    <col min="2" max="2" width="10.00390625" style="0" customWidth="1"/>
  </cols>
  <sheetData>
    <row r="1" spans="1:7" ht="15.75">
      <c r="A1" s="59" t="s">
        <v>218</v>
      </c>
      <c r="B1" s="5">
        <v>2008</v>
      </c>
      <c r="C1">
        <v>2003</v>
      </c>
      <c r="D1">
        <v>2004</v>
      </c>
      <c r="E1" s="275">
        <v>2005</v>
      </c>
      <c r="F1" s="275">
        <v>2006</v>
      </c>
      <c r="G1" s="275">
        <v>2007</v>
      </c>
    </row>
    <row r="2" ht="12.75"/>
    <row r="3" spans="1:2" ht="15.75">
      <c r="A3" s="10" t="s">
        <v>171</v>
      </c>
      <c r="B3" s="294"/>
    </row>
    <row r="4" spans="1:2" ht="12.75">
      <c r="A4" s="8" t="s">
        <v>172</v>
      </c>
      <c r="B4" s="295"/>
    </row>
    <row r="5" spans="1:7" ht="12.75">
      <c r="A5" s="52" t="str">
        <f>+INPUT!B54</f>
        <v>Imported Water Nebraska</v>
      </c>
      <c r="B5" s="52">
        <f>+INPUT!C54</f>
        <v>10381</v>
      </c>
      <c r="C5">
        <v>9423</v>
      </c>
      <c r="D5">
        <v>9522</v>
      </c>
      <c r="E5">
        <v>9633</v>
      </c>
      <c r="F5">
        <v>9398</v>
      </c>
      <c r="G5">
        <v>10554</v>
      </c>
    </row>
    <row r="6" spans="1:7" ht="12.75">
      <c r="A6" s="52" t="str">
        <f>+INPUT!B28</f>
        <v>GW CBCU Colorado</v>
      </c>
      <c r="B6" s="52">
        <f>+INPUT!C28</f>
        <v>0</v>
      </c>
      <c r="C6">
        <v>0</v>
      </c>
      <c r="D6">
        <v>0</v>
      </c>
      <c r="E6">
        <v>0</v>
      </c>
      <c r="F6">
        <v>0</v>
      </c>
      <c r="G6">
        <v>0</v>
      </c>
    </row>
    <row r="7" spans="1:7" ht="12.75">
      <c r="A7" s="52" t="str">
        <f>+INPUT!B29</f>
        <v>GW CBCU Kansas</v>
      </c>
      <c r="B7" s="52">
        <f>+INPUT!C29</f>
        <v>0</v>
      </c>
      <c r="C7">
        <v>0</v>
      </c>
      <c r="D7">
        <v>0</v>
      </c>
      <c r="E7">
        <v>0</v>
      </c>
      <c r="F7">
        <v>0</v>
      </c>
      <c r="G7">
        <v>0</v>
      </c>
    </row>
    <row r="8" spans="1:7" ht="12" customHeight="1">
      <c r="A8" s="52" t="str">
        <f>+INPUT!B30</f>
        <v>GW CBCU Nebraska</v>
      </c>
      <c r="B8" s="52">
        <f>+INPUT!C30</f>
        <v>19469</v>
      </c>
      <c r="C8">
        <v>21139</v>
      </c>
      <c r="D8">
        <v>21296</v>
      </c>
      <c r="E8">
        <v>20766</v>
      </c>
      <c r="F8">
        <v>19890</v>
      </c>
      <c r="G8">
        <v>20113</v>
      </c>
    </row>
    <row r="9" spans="1:2" ht="12" customHeight="1">
      <c r="A9" s="9" t="s">
        <v>78</v>
      </c>
      <c r="B9" s="9"/>
    </row>
    <row r="10" spans="1:2" ht="12.75">
      <c r="A10" s="5" t="s">
        <v>174</v>
      </c>
      <c r="B10" s="2"/>
    </row>
    <row r="11" spans="1:7" ht="12.75">
      <c r="A11" s="52" t="str">
        <f>+INPUT!B191</f>
        <v>Medicine Creek Below Harry Strunk</v>
      </c>
      <c r="B11" s="52">
        <f>+INPUT!C191</f>
        <v>65915</v>
      </c>
      <c r="C11">
        <v>19850</v>
      </c>
      <c r="D11">
        <v>23300</v>
      </c>
      <c r="E11">
        <v>19992</v>
      </c>
      <c r="F11">
        <v>22648</v>
      </c>
      <c r="G11">
        <v>50356</v>
      </c>
    </row>
    <row r="12" spans="1:7" ht="12.75">
      <c r="A12" s="52" t="str">
        <f>+INPUT!B220</f>
        <v>Harry Strunk Lake Evaporation</v>
      </c>
      <c r="B12" s="52">
        <f>+INPUT!C220</f>
        <v>1591.4419999999998</v>
      </c>
      <c r="C12">
        <v>3755</v>
      </c>
      <c r="D12">
        <v>2058.9</v>
      </c>
      <c r="E12">
        <v>2771.705791666667</v>
      </c>
      <c r="F12">
        <v>3034.878083333333</v>
      </c>
      <c r="G12">
        <v>1548.8</v>
      </c>
    </row>
    <row r="13" spans="1:7" ht="12.75">
      <c r="A13" s="52" t="str">
        <f>+INPUT!B221</f>
        <v>Harry Strunk Lake Change In Storage</v>
      </c>
      <c r="B13" s="52">
        <f>+INPUT!C221</f>
        <v>-1000</v>
      </c>
      <c r="C13">
        <v>3385</v>
      </c>
      <c r="D13">
        <v>-300</v>
      </c>
      <c r="E13">
        <v>5600</v>
      </c>
      <c r="F13">
        <v>-3000</v>
      </c>
      <c r="G13">
        <v>10400</v>
      </c>
    </row>
    <row r="14" spans="1:7" ht="12.75">
      <c r="A14" s="104" t="str">
        <f>+INPUT!B104</f>
        <v>SW Diversions - Irrigation - Non-Federal Canals - Nebraska</v>
      </c>
      <c r="B14" s="104">
        <f>+INPUT!C104</f>
        <v>0</v>
      </c>
      <c r="C14">
        <v>0</v>
      </c>
      <c r="D14">
        <v>0</v>
      </c>
      <c r="E14">
        <v>0</v>
      </c>
      <c r="F14">
        <v>0</v>
      </c>
      <c r="G14">
        <v>0</v>
      </c>
    </row>
    <row r="15" spans="1:7" ht="12.75">
      <c r="A15" s="104" t="str">
        <f>+INPUT!B105</f>
        <v>SW Diversions - Irrigation - Small Pumps - Nebraska</v>
      </c>
      <c r="B15" s="104">
        <f>+INPUT!C105</f>
        <v>91</v>
      </c>
      <c r="C15">
        <v>291</v>
      </c>
      <c r="D15">
        <v>255</v>
      </c>
      <c r="E15">
        <v>258.8</v>
      </c>
      <c r="F15">
        <v>305</v>
      </c>
      <c r="G15">
        <v>25</v>
      </c>
    </row>
    <row r="16" spans="1:7" ht="12.75">
      <c r="A16" s="104" t="str">
        <f>+INPUT!B106</f>
        <v>SW Diversions - M&amp;I - Nebraska</v>
      </c>
      <c r="B16" s="104">
        <f>+INPUT!C106</f>
        <v>0</v>
      </c>
      <c r="C16">
        <v>0</v>
      </c>
      <c r="D16">
        <v>0</v>
      </c>
      <c r="E16">
        <v>0</v>
      </c>
      <c r="F16">
        <v>0</v>
      </c>
      <c r="G16">
        <v>0</v>
      </c>
    </row>
    <row r="17" spans="1:7" ht="12.75">
      <c r="A17" s="104" t="str">
        <f>+INPUT!B107</f>
        <v>SW Diversions - Irrigation - Non-Federal Canals - Nebraska -Below Gage</v>
      </c>
      <c r="B17" s="104">
        <f>+INPUT!C107</f>
        <v>0</v>
      </c>
      <c r="C17">
        <v>0</v>
      </c>
      <c r="D17">
        <v>0</v>
      </c>
      <c r="E17">
        <v>0</v>
      </c>
      <c r="F17">
        <v>0</v>
      </c>
      <c r="G17">
        <v>0</v>
      </c>
    </row>
    <row r="18" spans="1:7" ht="12.75">
      <c r="A18" s="104" t="str">
        <f>+INPUT!B108</f>
        <v>SW Diversions - Irrigation - Small Pumps -Nebraska - Below Gage</v>
      </c>
      <c r="B18" s="104">
        <f>+INPUT!C108</f>
        <v>40</v>
      </c>
      <c r="C18">
        <v>106</v>
      </c>
      <c r="D18">
        <v>57.5</v>
      </c>
      <c r="E18">
        <v>77.6</v>
      </c>
      <c r="F18">
        <v>94</v>
      </c>
      <c r="G18">
        <v>25</v>
      </c>
    </row>
    <row r="19" spans="1:7" ht="12.75">
      <c r="A19" s="104" t="str">
        <f>+INPUT!B109</f>
        <v>SW Diversions - M&amp;I - Nebraska - Below Gage</v>
      </c>
      <c r="B19" s="104">
        <f>+INPUT!C109</f>
        <v>0</v>
      </c>
      <c r="C19">
        <v>0</v>
      </c>
      <c r="D19">
        <v>0</v>
      </c>
      <c r="E19">
        <v>0</v>
      </c>
      <c r="F19">
        <v>0</v>
      </c>
      <c r="G19">
        <v>0</v>
      </c>
    </row>
    <row r="20" spans="1:7" ht="12.75">
      <c r="A20" s="104" t="str">
        <f>+INPUT!B167</f>
        <v>Non-Federal Reservoir Evaporation - Nebraska</v>
      </c>
      <c r="B20" s="104">
        <f>+INPUT!C167</f>
        <v>155</v>
      </c>
      <c r="C20">
        <v>0</v>
      </c>
      <c r="D20">
        <v>233.2</v>
      </c>
      <c r="E20">
        <v>292.3</v>
      </c>
      <c r="F20">
        <v>139.08</v>
      </c>
      <c r="G20">
        <v>251</v>
      </c>
    </row>
    <row r="21" spans="1:7" ht="12.75">
      <c r="A21" s="104" t="str">
        <f>+INPUT!B168</f>
        <v>Non-Federal Reservoir Evaporation - Nebraska - Below Gage</v>
      </c>
      <c r="B21" s="104">
        <f>+INPUT!C168</f>
        <v>5</v>
      </c>
      <c r="C21">
        <v>0</v>
      </c>
      <c r="D21">
        <v>3.6</v>
      </c>
      <c r="E21">
        <v>7.2</v>
      </c>
      <c r="F21">
        <v>0</v>
      </c>
      <c r="G21">
        <v>6</v>
      </c>
    </row>
    <row r="22" spans="1:7" ht="12.75">
      <c r="A22" s="104" t="str">
        <f>+INPUT!B207</f>
        <v>Medicine Creek Flood Flow</v>
      </c>
      <c r="B22" s="104">
        <f>+INPUT!C207</f>
        <v>0</v>
      </c>
      <c r="C22">
        <v>0</v>
      </c>
      <c r="D22">
        <v>0</v>
      </c>
      <c r="E22">
        <v>0</v>
      </c>
      <c r="F22">
        <v>0</v>
      </c>
      <c r="G22">
        <v>0</v>
      </c>
    </row>
    <row r="23" spans="1:2" ht="12.75">
      <c r="A23" s="119" t="s">
        <v>78</v>
      </c>
      <c r="B23" s="16"/>
    </row>
    <row r="24" spans="1:2" ht="15.75">
      <c r="A24" s="10" t="s">
        <v>255</v>
      </c>
      <c r="B24" s="16"/>
    </row>
    <row r="25" spans="1:2" ht="12.75">
      <c r="A25" s="8" t="s">
        <v>0</v>
      </c>
      <c r="B25" s="16"/>
    </row>
    <row r="26" spans="1:7" ht="12.75">
      <c r="A26" s="16" t="str">
        <f>'NORTH FORK'!A38</f>
        <v>GW CBCU</v>
      </c>
      <c r="B26" s="16">
        <f>+B6</f>
        <v>0</v>
      </c>
      <c r="C26">
        <v>0</v>
      </c>
      <c r="D26">
        <v>0</v>
      </c>
      <c r="E26">
        <v>0</v>
      </c>
      <c r="F26">
        <v>0</v>
      </c>
      <c r="G26">
        <v>0</v>
      </c>
    </row>
    <row r="27" spans="1:7" ht="12.75">
      <c r="A27" s="16" t="str">
        <f>'NORTH FORK'!A39</f>
        <v>Total CBCU</v>
      </c>
      <c r="B27" s="73">
        <f>(ROUND(SUM(B26:B26),-1))</f>
        <v>0</v>
      </c>
      <c r="C27">
        <v>0</v>
      </c>
      <c r="D27">
        <v>0</v>
      </c>
      <c r="E27">
        <v>0</v>
      </c>
      <c r="F27">
        <v>0</v>
      </c>
      <c r="G27">
        <v>0</v>
      </c>
    </row>
    <row r="28" spans="1:2" ht="12.75">
      <c r="A28" s="16" t="s">
        <v>78</v>
      </c>
      <c r="B28" s="16"/>
    </row>
    <row r="29" spans="1:2" ht="12.75">
      <c r="A29" s="8" t="s">
        <v>175</v>
      </c>
      <c r="B29" s="16"/>
    </row>
    <row r="30" spans="1:7" ht="12.75">
      <c r="A30" s="16" t="str">
        <f>'NORTH FORK'!A38</f>
        <v>GW CBCU</v>
      </c>
      <c r="B30" s="16">
        <f>+B7</f>
        <v>0</v>
      </c>
      <c r="C30">
        <v>0</v>
      </c>
      <c r="D30">
        <v>0</v>
      </c>
      <c r="E30">
        <v>0</v>
      </c>
      <c r="F30">
        <v>0</v>
      </c>
      <c r="G30">
        <v>0</v>
      </c>
    </row>
    <row r="31" spans="1:7" ht="12.75">
      <c r="A31" s="16" t="str">
        <f>'NORTH FORK'!A39</f>
        <v>Total CBCU</v>
      </c>
      <c r="B31" s="73">
        <f>(ROUND(SUM(B30:B30),-1))</f>
        <v>0</v>
      </c>
      <c r="C31">
        <v>0</v>
      </c>
      <c r="D31">
        <v>0</v>
      </c>
      <c r="E31">
        <v>0</v>
      </c>
      <c r="F31">
        <v>0</v>
      </c>
      <c r="G31">
        <v>0</v>
      </c>
    </row>
    <row r="32" spans="1:2" ht="12.75">
      <c r="A32" s="16" t="s">
        <v>78</v>
      </c>
      <c r="B32" s="16"/>
    </row>
    <row r="33" spans="1:2" ht="12.75">
      <c r="A33" s="8" t="s">
        <v>1</v>
      </c>
      <c r="B33" s="16"/>
    </row>
    <row r="34" spans="1:7" ht="12.75">
      <c r="A34" s="16" t="str">
        <f>'NORTH FORK'!A23</f>
        <v>SW CBCU - Irrigation - Non Federal Canals</v>
      </c>
      <c r="B34" s="73">
        <f>B14*CanalCUPercent</f>
        <v>0</v>
      </c>
      <c r="C34">
        <v>0</v>
      </c>
      <c r="D34">
        <v>0</v>
      </c>
      <c r="E34">
        <v>0</v>
      </c>
      <c r="F34">
        <v>0</v>
      </c>
      <c r="G34">
        <v>0</v>
      </c>
    </row>
    <row r="35" spans="1:7" ht="12.75">
      <c r="A35" s="16" t="str">
        <f>'NORTH FORK'!A24</f>
        <v>SW CBCU - Irrigation - Small Pumps</v>
      </c>
      <c r="B35" s="73">
        <f>B15*PumperCUPercent</f>
        <v>68.25</v>
      </c>
      <c r="C35">
        <v>218.25</v>
      </c>
      <c r="D35">
        <v>191.25</v>
      </c>
      <c r="E35">
        <v>194.1</v>
      </c>
      <c r="F35">
        <v>228.75</v>
      </c>
      <c r="G35">
        <v>18.75</v>
      </c>
    </row>
    <row r="36" spans="1:7" ht="12.75">
      <c r="A36" s="16" t="str">
        <f>'NORTH FORK'!A25</f>
        <v>SW CBCU - M&amp;I</v>
      </c>
      <c r="B36" s="16">
        <f>B16*MI_CUPercent</f>
        <v>0</v>
      </c>
      <c r="C36">
        <v>0</v>
      </c>
      <c r="D36">
        <v>0</v>
      </c>
      <c r="E36">
        <v>0</v>
      </c>
      <c r="F36">
        <v>0</v>
      </c>
      <c r="G36">
        <v>0</v>
      </c>
    </row>
    <row r="37" spans="1:7" ht="12.75">
      <c r="A37" s="16" t="str">
        <f>'NORTH FORK'!A23&amp;" "&amp;"-"&amp;" "&amp;"Below Gage"</f>
        <v>SW CBCU - Irrigation - Non Federal Canals - Below Gage</v>
      </c>
      <c r="B37" s="73">
        <f>+B17*CanalCUPercent</f>
        <v>0</v>
      </c>
      <c r="C37">
        <v>0</v>
      </c>
      <c r="D37">
        <v>0</v>
      </c>
      <c r="E37">
        <v>0</v>
      </c>
      <c r="F37">
        <v>0</v>
      </c>
      <c r="G37">
        <v>0</v>
      </c>
    </row>
    <row r="38" spans="1:7" ht="12.75">
      <c r="A38" s="16" t="str">
        <f>'NORTH FORK'!A24&amp;" "&amp;"-"&amp;" "&amp;"Below Gage"</f>
        <v>SW CBCU - Irrigation - Small Pumps - Below Gage</v>
      </c>
      <c r="B38" s="73">
        <f>+B18*PumperCUPercent</f>
        <v>30</v>
      </c>
      <c r="C38">
        <v>79.5</v>
      </c>
      <c r="D38">
        <v>43.125</v>
      </c>
      <c r="E38">
        <v>58.2</v>
      </c>
      <c r="F38">
        <v>70.5</v>
      </c>
      <c r="G38">
        <v>18.75</v>
      </c>
    </row>
    <row r="39" spans="1:7" ht="12.75">
      <c r="A39" s="16" t="str">
        <f>'NORTH FORK'!A25&amp;" "&amp;"-"&amp;" "&amp;"Below Gage"</f>
        <v>SW CBCU - M&amp;I - Below Gage</v>
      </c>
      <c r="B39" s="73">
        <f>+B19*MI_CUPercent</f>
        <v>0</v>
      </c>
      <c r="C39">
        <v>0</v>
      </c>
      <c r="D39">
        <v>0</v>
      </c>
      <c r="E39">
        <v>0</v>
      </c>
      <c r="F39">
        <v>0</v>
      </c>
      <c r="G39">
        <v>0</v>
      </c>
    </row>
    <row r="40" spans="1:7" ht="12.75">
      <c r="A40" s="97" t="str">
        <f>'NORTH FORK'!A26</f>
        <v>Non-Federal Reservoir Evaporation</v>
      </c>
      <c r="B40" s="16">
        <f>B20</f>
        <v>155</v>
      </c>
      <c r="C40">
        <v>0</v>
      </c>
      <c r="D40">
        <v>233.2</v>
      </c>
      <c r="E40">
        <v>292.3</v>
      </c>
      <c r="F40">
        <v>139.08</v>
      </c>
      <c r="G40">
        <v>251</v>
      </c>
    </row>
    <row r="41" spans="1:7" ht="12.75">
      <c r="A41" s="97" t="str">
        <f>'NORTH FORK'!A26&amp;" "&amp;"-"&amp;" "&amp;"Below gage"</f>
        <v>Non-Federal Reservoir Evaporation - Below gage</v>
      </c>
      <c r="B41" s="16">
        <f>B21</f>
        <v>5</v>
      </c>
      <c r="C41">
        <v>0</v>
      </c>
      <c r="D41">
        <v>3.6</v>
      </c>
      <c r="E41">
        <v>7.2</v>
      </c>
      <c r="F41">
        <v>0</v>
      </c>
      <c r="G41">
        <v>6</v>
      </c>
    </row>
    <row r="42" spans="1:7" ht="12.75">
      <c r="A42" s="16" t="str">
        <f>'NORTH FORK'!A27</f>
        <v>SW CBCU</v>
      </c>
      <c r="B42" s="73">
        <f>B34+B35+B36+B37+B38+B39+B40+B41</f>
        <v>258.25</v>
      </c>
      <c r="C42">
        <v>297.75</v>
      </c>
      <c r="D42">
        <v>471.175</v>
      </c>
      <c r="E42">
        <v>551.8</v>
      </c>
      <c r="F42">
        <v>438.33</v>
      </c>
      <c r="G42">
        <v>294.5</v>
      </c>
    </row>
    <row r="43" spans="1:7" ht="12.75">
      <c r="A43" s="16" t="str">
        <f>'NORTH FORK'!A28</f>
        <v>GW CBCU</v>
      </c>
      <c r="B43" s="16">
        <f>+B8</f>
        <v>19469</v>
      </c>
      <c r="C43">
        <v>21139</v>
      </c>
      <c r="D43">
        <v>21296</v>
      </c>
      <c r="E43">
        <v>20766</v>
      </c>
      <c r="F43">
        <v>19890</v>
      </c>
      <c r="G43">
        <v>20113</v>
      </c>
    </row>
    <row r="44" spans="1:7" ht="12.75">
      <c r="A44" s="16" t="str">
        <f>'NORTH FORK'!A29</f>
        <v>Total CBCU</v>
      </c>
      <c r="B44" s="73">
        <f>(ROUND(SUM(B42:B43),-1))</f>
        <v>19730</v>
      </c>
      <c r="C44">
        <v>21440</v>
      </c>
      <c r="D44">
        <v>21770</v>
      </c>
      <c r="E44">
        <v>21320</v>
      </c>
      <c r="F44">
        <v>20330</v>
      </c>
      <c r="G44">
        <v>20410</v>
      </c>
    </row>
    <row r="45" spans="1:2" ht="12.75">
      <c r="A45" s="16" t="s">
        <v>78</v>
      </c>
      <c r="B45" s="16"/>
    </row>
    <row r="46" spans="1:2" ht="12.75">
      <c r="A46" s="5" t="s">
        <v>176</v>
      </c>
      <c r="B46" s="16"/>
    </row>
    <row r="47" spans="1:7" ht="12.75">
      <c r="A47" s="97" t="str">
        <f>'NORTH FORK'!A42</f>
        <v>Total SW CBCU</v>
      </c>
      <c r="B47" s="73">
        <f>+B42</f>
        <v>258.25</v>
      </c>
      <c r="C47">
        <v>297.75</v>
      </c>
      <c r="D47">
        <v>471.175</v>
      </c>
      <c r="E47">
        <v>551.8</v>
      </c>
      <c r="F47">
        <v>438.33</v>
      </c>
      <c r="G47">
        <v>294.5</v>
      </c>
    </row>
    <row r="48" spans="1:7" ht="12.75">
      <c r="A48" s="97" t="str">
        <f>'NORTH FORK'!A43</f>
        <v>Total GW CBCU</v>
      </c>
      <c r="B48" s="73">
        <f>+B26+B30+B43</f>
        <v>19469</v>
      </c>
      <c r="C48">
        <v>21139</v>
      </c>
      <c r="D48">
        <v>21296</v>
      </c>
      <c r="E48">
        <v>20766</v>
      </c>
      <c r="F48">
        <v>19890</v>
      </c>
      <c r="G48">
        <v>20113</v>
      </c>
    </row>
    <row r="49" spans="1:7" ht="12.75">
      <c r="A49" s="97" t="str">
        <f>'NORTH FORK'!A44</f>
        <v>Total Basin CBCU</v>
      </c>
      <c r="B49" s="97">
        <f>(ROUND(SUM(B47:B48),-1))</f>
        <v>19730</v>
      </c>
      <c r="C49">
        <v>21440</v>
      </c>
      <c r="D49">
        <v>21770</v>
      </c>
      <c r="E49">
        <v>21320</v>
      </c>
      <c r="F49">
        <v>20330</v>
      </c>
      <c r="G49">
        <v>20410</v>
      </c>
    </row>
    <row r="50" spans="1:2" ht="12.75">
      <c r="A50" s="97" t="s">
        <v>78</v>
      </c>
      <c r="B50" s="16"/>
    </row>
    <row r="51" spans="1:2" ht="12.75">
      <c r="A51" s="5" t="s">
        <v>355</v>
      </c>
      <c r="B51" s="16"/>
    </row>
    <row r="52" spans="1:7" ht="12.75">
      <c r="A52" s="16" t="s">
        <v>241</v>
      </c>
      <c r="B52" s="73">
        <f>B37+B38+B39+B41</f>
        <v>35</v>
      </c>
      <c r="C52">
        <v>79.5</v>
      </c>
      <c r="D52">
        <v>46.725</v>
      </c>
      <c r="E52">
        <v>65.4</v>
      </c>
      <c r="F52">
        <v>70.5</v>
      </c>
      <c r="G52">
        <v>24.75</v>
      </c>
    </row>
    <row r="53" spans="1:7" ht="12.75">
      <c r="A53" s="16" t="s">
        <v>4</v>
      </c>
      <c r="B53" s="73">
        <f>B52</f>
        <v>35</v>
      </c>
      <c r="C53">
        <v>79.5</v>
      </c>
      <c r="D53">
        <v>46.725</v>
      </c>
      <c r="E53">
        <v>65.4</v>
      </c>
      <c r="F53">
        <v>70.5</v>
      </c>
      <c r="G53">
        <v>24.75</v>
      </c>
    </row>
    <row r="54" spans="1:2" ht="12.75">
      <c r="A54" s="16" t="s">
        <v>78</v>
      </c>
      <c r="B54" s="16"/>
    </row>
    <row r="55" spans="1:2" ht="15.75">
      <c r="A55" s="11" t="s">
        <v>10</v>
      </c>
      <c r="B55" s="16"/>
    </row>
    <row r="56" spans="1:7" ht="12.75">
      <c r="A56" s="73" t="str">
        <f>A11</f>
        <v>Medicine Creek Below Harry Strunk</v>
      </c>
      <c r="B56" s="73">
        <f>B11</f>
        <v>65915</v>
      </c>
      <c r="C56">
        <v>19850</v>
      </c>
      <c r="D56">
        <v>23300</v>
      </c>
      <c r="E56">
        <v>19992</v>
      </c>
      <c r="F56">
        <v>22648</v>
      </c>
      <c r="G56">
        <v>50356</v>
      </c>
    </row>
    <row r="57" spans="1:7" ht="12.75">
      <c r="A57" s="16" t="str">
        <f>'NORTH FORK'!A49</f>
        <v>Colorado CBCU</v>
      </c>
      <c r="B57" s="73">
        <f>+B27</f>
        <v>0</v>
      </c>
      <c r="C57">
        <v>0</v>
      </c>
      <c r="D57">
        <v>0</v>
      </c>
      <c r="E57">
        <v>0</v>
      </c>
      <c r="F57">
        <v>0</v>
      </c>
      <c r="G57">
        <v>0</v>
      </c>
    </row>
    <row r="58" spans="1:7" ht="12.75">
      <c r="A58" s="16" t="str">
        <f>'NORTH FORK'!A50</f>
        <v>Kansas CBCU</v>
      </c>
      <c r="B58" s="73">
        <f>+B31</f>
        <v>0</v>
      </c>
      <c r="C58">
        <v>0</v>
      </c>
      <c r="D58">
        <v>0</v>
      </c>
      <c r="E58">
        <v>0</v>
      </c>
      <c r="F58">
        <v>0</v>
      </c>
      <c r="G58">
        <v>0</v>
      </c>
    </row>
    <row r="59" spans="1:7" ht="12.75">
      <c r="A59" s="16" t="str">
        <f>'NORTH FORK'!A51</f>
        <v>Nebraska CBCU</v>
      </c>
      <c r="B59" s="73">
        <f>B44</f>
        <v>19730</v>
      </c>
      <c r="C59">
        <v>21440</v>
      </c>
      <c r="D59">
        <v>21770</v>
      </c>
      <c r="E59">
        <v>21320</v>
      </c>
      <c r="F59">
        <v>20330</v>
      </c>
      <c r="G59">
        <v>20410</v>
      </c>
    </row>
    <row r="60" spans="1:7" ht="12.75">
      <c r="A60" s="16" t="s">
        <v>241</v>
      </c>
      <c r="B60" s="73">
        <f>B53</f>
        <v>35</v>
      </c>
      <c r="C60">
        <v>79.5</v>
      </c>
      <c r="D60">
        <v>46.725</v>
      </c>
      <c r="E60">
        <v>65.4</v>
      </c>
      <c r="F60">
        <v>70.5</v>
      </c>
      <c r="G60">
        <v>24.75</v>
      </c>
    </row>
    <row r="61" spans="1:7" ht="12.75">
      <c r="A61" s="16" t="str">
        <f>A13</f>
        <v>Harry Strunk Lake Change In Storage</v>
      </c>
      <c r="B61" s="16">
        <f>+B13</f>
        <v>-1000</v>
      </c>
      <c r="C61">
        <v>3385</v>
      </c>
      <c r="D61">
        <v>-300</v>
      </c>
      <c r="E61">
        <v>5600</v>
      </c>
      <c r="F61">
        <v>-3000</v>
      </c>
      <c r="G61">
        <v>10400</v>
      </c>
    </row>
    <row r="62" spans="1:7" ht="12.75">
      <c r="A62" s="16" t="str">
        <f>A12</f>
        <v>Harry Strunk Lake Evaporation</v>
      </c>
      <c r="B62" s="16">
        <f>+B12</f>
        <v>1591.4419999999998</v>
      </c>
      <c r="C62">
        <v>3755</v>
      </c>
      <c r="D62">
        <v>2058.9</v>
      </c>
      <c r="E62">
        <v>2771.705791666667</v>
      </c>
      <c r="F62">
        <v>3034.878083333333</v>
      </c>
      <c r="G62">
        <v>1548.8</v>
      </c>
    </row>
    <row r="63" spans="1:7" ht="12.75">
      <c r="A63" s="16" t="str">
        <f>'NORTH FORK'!A52</f>
        <v>Imported Water</v>
      </c>
      <c r="B63" s="16">
        <f>B5</f>
        <v>10381</v>
      </c>
      <c r="C63">
        <v>9423</v>
      </c>
      <c r="D63">
        <v>9522</v>
      </c>
      <c r="E63">
        <v>9633</v>
      </c>
      <c r="F63">
        <v>9398</v>
      </c>
      <c r="G63">
        <v>10554</v>
      </c>
    </row>
    <row r="64" spans="1:7" ht="12.75">
      <c r="A64" s="16" t="str">
        <f>'NORTH FORK'!A53</f>
        <v>Virgin Water Supply</v>
      </c>
      <c r="B64" s="73">
        <f>ROUND(B56+B57+B58+B59-B60+B61+B62-B63,-1)</f>
        <v>75820</v>
      </c>
      <c r="C64">
        <v>38930</v>
      </c>
      <c r="D64">
        <v>37260</v>
      </c>
      <c r="E64">
        <v>39990</v>
      </c>
      <c r="F64">
        <v>33540</v>
      </c>
      <c r="G64">
        <v>72140</v>
      </c>
    </row>
    <row r="65" spans="1:7" ht="12.75">
      <c r="A65" s="16" t="str">
        <f>'NORTH FORK'!A54</f>
        <v>Adjustment For Flood Flows</v>
      </c>
      <c r="B65" s="16">
        <f>B22</f>
        <v>0</v>
      </c>
      <c r="C65">
        <v>0</v>
      </c>
      <c r="D65">
        <v>0</v>
      </c>
      <c r="E65">
        <v>0</v>
      </c>
      <c r="F65">
        <v>0</v>
      </c>
      <c r="G65">
        <v>0</v>
      </c>
    </row>
    <row r="66" spans="1:7" ht="12.75">
      <c r="A66" s="16" t="str">
        <f>'NORTH FORK'!A55</f>
        <v>Computed Water Supply</v>
      </c>
      <c r="B66" s="73">
        <f>+ROUND(B64-B65-B61,-1)</f>
        <v>76820</v>
      </c>
      <c r="C66">
        <v>35550</v>
      </c>
      <c r="D66">
        <v>37560</v>
      </c>
      <c r="E66">
        <v>34390</v>
      </c>
      <c r="F66">
        <v>36540</v>
      </c>
      <c r="G66">
        <v>61740</v>
      </c>
    </row>
    <row r="67" spans="1:2" ht="12.75">
      <c r="A67" s="97" t="s">
        <v>78</v>
      </c>
      <c r="B67" s="16"/>
    </row>
    <row r="68" spans="1:2" ht="15.75">
      <c r="A68" s="11" t="s">
        <v>12</v>
      </c>
      <c r="B68" s="13"/>
    </row>
    <row r="69" spans="1:7" ht="12.75">
      <c r="A69" s="16" t="str">
        <f>'NORTH FORK'!A58</f>
        <v>Colorado Percent Of Allocation</v>
      </c>
      <c r="B69" s="123">
        <f>'T2'!$D11</f>
        <v>0</v>
      </c>
      <c r="C69">
        <v>0</v>
      </c>
      <c r="D69">
        <v>0</v>
      </c>
      <c r="E69">
        <v>0</v>
      </c>
      <c r="F69">
        <v>0</v>
      </c>
      <c r="G69">
        <v>0</v>
      </c>
    </row>
    <row r="70" spans="1:7" ht="12.75">
      <c r="A70" s="16" t="str">
        <f>'NORTH FORK'!A59</f>
        <v>Colorado Allocation</v>
      </c>
      <c r="B70" s="73">
        <f>ROUND(+B66*B69,-1)</f>
        <v>0</v>
      </c>
      <c r="C70">
        <v>0</v>
      </c>
      <c r="D70">
        <v>0</v>
      </c>
      <c r="E70">
        <v>0</v>
      </c>
      <c r="F70">
        <v>0</v>
      </c>
      <c r="G70">
        <v>0</v>
      </c>
    </row>
    <row r="71" spans="1:7" ht="12.75">
      <c r="A71" s="16" t="str">
        <f>'NORTH FORK'!A60</f>
        <v>Kansas Percent Of Allocation</v>
      </c>
      <c r="B71" s="123">
        <f>'T2'!$F11</f>
        <v>0</v>
      </c>
      <c r="C71">
        <v>0</v>
      </c>
      <c r="D71">
        <v>0</v>
      </c>
      <c r="E71">
        <v>0</v>
      </c>
      <c r="F71">
        <v>0</v>
      </c>
      <c r="G71">
        <v>0</v>
      </c>
    </row>
    <row r="72" spans="1:7" ht="12.75">
      <c r="A72" s="16" t="str">
        <f>'NORTH FORK'!A61</f>
        <v>Kansas Allocation</v>
      </c>
      <c r="B72" s="73">
        <f>ROUND(B66*B71,-1)</f>
        <v>0</v>
      </c>
      <c r="C72">
        <v>0</v>
      </c>
      <c r="D72">
        <v>0</v>
      </c>
      <c r="E72">
        <v>0</v>
      </c>
      <c r="F72">
        <v>0</v>
      </c>
      <c r="G72">
        <v>0</v>
      </c>
    </row>
    <row r="73" spans="1:7" ht="12.75">
      <c r="A73" s="16" t="str">
        <f>'NORTH FORK'!A62</f>
        <v>Nebraska Percent Of Allocation</v>
      </c>
      <c r="B73" s="123">
        <f>'T2'!$H11</f>
        <v>0.091</v>
      </c>
      <c r="C73">
        <v>0.091</v>
      </c>
      <c r="D73">
        <v>0.091</v>
      </c>
      <c r="E73">
        <v>0.091</v>
      </c>
      <c r="F73">
        <v>0.091</v>
      </c>
      <c r="G73">
        <v>0.091</v>
      </c>
    </row>
    <row r="74" spans="1:7" ht="12.75">
      <c r="A74" s="16" t="str">
        <f>'NORTH FORK'!A63</f>
        <v>Nebraska Allocation</v>
      </c>
      <c r="B74" s="73">
        <f>ROUND(B66*B73,-1)</f>
        <v>6990</v>
      </c>
      <c r="C74">
        <v>3240</v>
      </c>
      <c r="D74">
        <v>3420</v>
      </c>
      <c r="E74">
        <v>3130</v>
      </c>
      <c r="F74">
        <v>3330</v>
      </c>
      <c r="G74">
        <v>5620</v>
      </c>
    </row>
    <row r="75" spans="1:7" ht="12.75">
      <c r="A75" s="16" t="str">
        <f>'NORTH FORK'!A64</f>
        <v>Total Basin Allocation</v>
      </c>
      <c r="B75" s="73">
        <f>+B70+B72+B74</f>
        <v>6990</v>
      </c>
      <c r="C75">
        <v>3240</v>
      </c>
      <c r="D75">
        <v>3420</v>
      </c>
      <c r="E75">
        <v>3130</v>
      </c>
      <c r="F75">
        <v>3330</v>
      </c>
      <c r="G75">
        <v>5620</v>
      </c>
    </row>
    <row r="76" spans="1:7" ht="12.75">
      <c r="A76" s="16" t="str">
        <f>'NORTH FORK'!A65</f>
        <v>Percent Of Supply Not Allocated</v>
      </c>
      <c r="B76" s="123">
        <f>'T2'!$J11</f>
        <v>0.909</v>
      </c>
      <c r="C76">
        <v>0.909</v>
      </c>
      <c r="D76">
        <v>0.909</v>
      </c>
      <c r="E76">
        <v>0.909</v>
      </c>
      <c r="F76">
        <v>0.909</v>
      </c>
      <c r="G76">
        <v>0.909</v>
      </c>
    </row>
    <row r="77" spans="1:7" ht="12.75">
      <c r="A77" s="2" t="str">
        <f>'NORTH FORK'!A66</f>
        <v>Quantity Of Unallocated Supply</v>
      </c>
      <c r="B77" s="4">
        <f>+B66-B70-B72-B74</f>
        <v>69830</v>
      </c>
      <c r="C77">
        <v>32310</v>
      </c>
      <c r="D77">
        <v>34140</v>
      </c>
      <c r="E77">
        <v>31260</v>
      </c>
      <c r="F77">
        <v>33210</v>
      </c>
      <c r="G77">
        <v>56120</v>
      </c>
    </row>
    <row r="78" ht="12.75">
      <c r="B78" s="50"/>
    </row>
    <row r="79" ht="12.75">
      <c r="B79" s="50"/>
    </row>
    <row r="80" ht="12.75">
      <c r="B80" s="50"/>
    </row>
    <row r="81" ht="12.75">
      <c r="B81" s="50"/>
    </row>
    <row r="82" ht="12.75">
      <c r="B82" s="50"/>
    </row>
    <row r="83" ht="12.75">
      <c r="B83" s="50"/>
    </row>
    <row r="84" ht="12.75">
      <c r="B84" s="50"/>
    </row>
    <row r="85" ht="12.75">
      <c r="B85" s="50"/>
    </row>
    <row r="86" ht="12.75">
      <c r="B86" s="50"/>
    </row>
    <row r="87" ht="12.75">
      <c r="B87" s="50"/>
    </row>
    <row r="88" ht="12.75">
      <c r="B88" s="50"/>
    </row>
    <row r="89" ht="12.75">
      <c r="B89" s="50"/>
    </row>
    <row r="90" ht="12.75">
      <c r="B90" s="50"/>
    </row>
    <row r="91" ht="12.75">
      <c r="B91" s="50"/>
    </row>
    <row r="92" ht="12.75">
      <c r="B92" s="50"/>
    </row>
    <row r="93" ht="12.75">
      <c r="B93" s="50"/>
    </row>
    <row r="94" ht="12.75">
      <c r="B94" s="50"/>
    </row>
    <row r="95" ht="12.75">
      <c r="B95" s="50"/>
    </row>
    <row r="96" ht="12.75">
      <c r="B96" s="50"/>
    </row>
    <row r="97" ht="12.75">
      <c r="B97" s="50"/>
    </row>
    <row r="98" ht="12.75">
      <c r="B98" s="50"/>
    </row>
    <row r="99" ht="12.75">
      <c r="B99" s="50"/>
    </row>
    <row r="100" ht="12.75">
      <c r="B100" s="50"/>
    </row>
    <row r="101" ht="12.75">
      <c r="B101" s="50"/>
    </row>
    <row r="102" ht="12.75">
      <c r="B102" s="50"/>
    </row>
    <row r="103" ht="12.75">
      <c r="B103" s="50"/>
    </row>
    <row r="104" ht="12.75">
      <c r="B104" s="50"/>
    </row>
    <row r="105" ht="12.75">
      <c r="B105" s="50"/>
    </row>
    <row r="106" ht="12.75">
      <c r="B106" s="50"/>
    </row>
    <row r="107" ht="12.75">
      <c r="B107" s="50"/>
    </row>
    <row r="108" ht="12.75">
      <c r="B108" s="50"/>
    </row>
    <row r="109" ht="12.75">
      <c r="B109" s="50"/>
    </row>
    <row r="110" ht="12.75">
      <c r="B110" s="50"/>
    </row>
    <row r="111" ht="12.75">
      <c r="B111" s="50"/>
    </row>
    <row r="112" ht="12.75">
      <c r="B112" s="50"/>
    </row>
    <row r="113" ht="12.75">
      <c r="B113" s="50"/>
    </row>
    <row r="114" ht="12.75">
      <c r="B114" s="50"/>
    </row>
    <row r="115" ht="12.75">
      <c r="B115" s="50"/>
    </row>
    <row r="116" ht="12.75">
      <c r="B116" s="50"/>
    </row>
    <row r="117" ht="12.75">
      <c r="B117" s="50"/>
    </row>
    <row r="118" ht="12.75">
      <c r="B118" s="50"/>
    </row>
    <row r="119" ht="12.75">
      <c r="B119" s="50"/>
    </row>
    <row r="120" ht="12.75">
      <c r="B120" s="50"/>
    </row>
    <row r="121" ht="12.75">
      <c r="B121" s="50"/>
    </row>
    <row r="122" ht="12.75">
      <c r="B122" s="50"/>
    </row>
    <row r="123" ht="12.75">
      <c r="B123" s="50"/>
    </row>
    <row r="124" ht="12.75">
      <c r="B124" s="50"/>
    </row>
    <row r="125" ht="12.75">
      <c r="B125" s="50"/>
    </row>
    <row r="126" ht="12.75">
      <c r="B126" s="50"/>
    </row>
    <row r="127" ht="12.75">
      <c r="B127" s="50"/>
    </row>
    <row r="128" ht="12.75">
      <c r="B128" s="50"/>
    </row>
    <row r="129" ht="12.75">
      <c r="B129" s="50"/>
    </row>
    <row r="130" ht="12.75">
      <c r="B130" s="50"/>
    </row>
    <row r="131" ht="12.75">
      <c r="B131" s="50"/>
    </row>
    <row r="132" ht="12.75">
      <c r="B132" s="50"/>
    </row>
    <row r="133" ht="12.75">
      <c r="B133" s="50"/>
    </row>
    <row r="134" ht="12.75">
      <c r="B134" s="50"/>
    </row>
    <row r="135" ht="12.75">
      <c r="B135" s="50"/>
    </row>
    <row r="136" ht="12.75">
      <c r="B136" s="50"/>
    </row>
    <row r="137" ht="12.75">
      <c r="B137" s="50"/>
    </row>
    <row r="138" ht="12.75">
      <c r="B138" s="50"/>
    </row>
    <row r="139" ht="12.75">
      <c r="B139" s="50"/>
    </row>
    <row r="140" ht="12.75">
      <c r="B140" s="50"/>
    </row>
    <row r="141" ht="12.75">
      <c r="B141" s="50"/>
    </row>
    <row r="142" ht="12.75">
      <c r="B142" s="50"/>
    </row>
    <row r="143" ht="12.75">
      <c r="B143" s="50"/>
    </row>
    <row r="144" ht="12.75">
      <c r="B144" s="50"/>
    </row>
    <row r="145" ht="12.75">
      <c r="B145" s="50"/>
    </row>
    <row r="146" ht="12.75">
      <c r="B146" s="50"/>
    </row>
    <row r="147" ht="12.75">
      <c r="B147" s="50"/>
    </row>
    <row r="148" ht="12.75">
      <c r="B148" s="50"/>
    </row>
    <row r="149" ht="12.75">
      <c r="B149" s="50"/>
    </row>
    <row r="150" ht="12.75">
      <c r="B150" s="50"/>
    </row>
    <row r="151" ht="12.75">
      <c r="B151" s="50"/>
    </row>
    <row r="152" ht="12.75">
      <c r="B152" s="50"/>
    </row>
    <row r="153" ht="12.75">
      <c r="B153" s="50"/>
    </row>
    <row r="154" ht="12.75">
      <c r="B154" s="50"/>
    </row>
    <row r="155" ht="12.75">
      <c r="B155" s="50"/>
    </row>
    <row r="156" ht="12.75">
      <c r="B156" s="50"/>
    </row>
    <row r="157" ht="12.75">
      <c r="B157" s="50"/>
    </row>
    <row r="158" ht="12.75">
      <c r="B158" s="50"/>
    </row>
    <row r="159" ht="12.75">
      <c r="B159" s="50"/>
    </row>
    <row r="160" ht="12.75">
      <c r="B160" s="50"/>
    </row>
    <row r="161" ht="12.75">
      <c r="B161" s="50"/>
    </row>
    <row r="162" ht="12.75">
      <c r="B162" s="50"/>
    </row>
    <row r="163" ht="12.75">
      <c r="B163" s="50"/>
    </row>
    <row r="164" ht="12.75">
      <c r="B164" s="50"/>
    </row>
    <row r="165" ht="12.75">
      <c r="B165" s="50"/>
    </row>
    <row r="166" ht="12.75">
      <c r="B166" s="50"/>
    </row>
    <row r="167" ht="12.75">
      <c r="B167" s="50"/>
    </row>
    <row r="168" ht="12.75">
      <c r="B168" s="50"/>
    </row>
    <row r="169" ht="12.75">
      <c r="B169" s="50"/>
    </row>
    <row r="170" ht="12.75">
      <c r="B170" s="50"/>
    </row>
    <row r="171" ht="12.75">
      <c r="B171" s="50"/>
    </row>
    <row r="172" ht="12.75">
      <c r="B172" s="50"/>
    </row>
    <row r="173" ht="12.75">
      <c r="B173" s="50"/>
    </row>
    <row r="174" ht="12.75">
      <c r="B174" s="50"/>
    </row>
    <row r="175" ht="12.75">
      <c r="B175" s="50"/>
    </row>
    <row r="176" ht="12.75">
      <c r="B176" s="50"/>
    </row>
    <row r="177" ht="12.75">
      <c r="B177" s="50"/>
    </row>
    <row r="178" ht="12.75">
      <c r="B178" s="50"/>
    </row>
    <row r="179" ht="12.75">
      <c r="B179" s="50"/>
    </row>
    <row r="180" ht="12.75">
      <c r="B180" s="50"/>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G91"/>
  <sheetViews>
    <sheetView zoomScalePageLayoutView="0" workbookViewId="0" topLeftCell="A1">
      <selection activeCell="G1" sqref="G1:G16384"/>
    </sheetView>
  </sheetViews>
  <sheetFormatPr defaultColWidth="9.140625" defaultRowHeight="12.75"/>
  <cols>
    <col min="1" max="1" width="74.7109375" style="0" customWidth="1"/>
    <col min="2" max="2" width="10.00390625" style="0" customWidth="1"/>
  </cols>
  <sheetData>
    <row r="1" spans="1:7" ht="15.75">
      <c r="A1" s="59" t="s">
        <v>217</v>
      </c>
      <c r="B1" s="5">
        <v>2008</v>
      </c>
      <c r="C1">
        <v>2003</v>
      </c>
      <c r="D1">
        <v>2004</v>
      </c>
      <c r="E1" s="275">
        <v>2005</v>
      </c>
      <c r="F1" s="275">
        <v>2006</v>
      </c>
      <c r="G1" s="275">
        <v>2007</v>
      </c>
    </row>
    <row r="2" ht="12.75"/>
    <row r="3" spans="1:2" ht="15.75">
      <c r="A3" s="10" t="s">
        <v>171</v>
      </c>
      <c r="B3" s="294"/>
    </row>
    <row r="4" spans="1:2" ht="12.75">
      <c r="A4" s="8" t="s">
        <v>172</v>
      </c>
      <c r="B4" s="295"/>
    </row>
    <row r="5" spans="1:7" ht="12.75">
      <c r="A5" s="52" t="str">
        <f>+INPUT!B55</f>
        <v>Imported Water Nebraska</v>
      </c>
      <c r="B5" s="52">
        <f>+INPUT!C55</f>
        <v>0</v>
      </c>
      <c r="C5">
        <v>0</v>
      </c>
      <c r="D5">
        <v>0</v>
      </c>
      <c r="E5">
        <v>0</v>
      </c>
      <c r="F5">
        <v>0</v>
      </c>
      <c r="G5">
        <v>0</v>
      </c>
    </row>
    <row r="6" spans="1:7" ht="12.75">
      <c r="A6" s="52" t="str">
        <f>+INPUT!B31</f>
        <v>GW CBCU Colorado</v>
      </c>
      <c r="B6" s="52">
        <f>+INPUT!C31</f>
        <v>0</v>
      </c>
      <c r="C6">
        <v>0</v>
      </c>
      <c r="D6">
        <v>0</v>
      </c>
      <c r="E6">
        <v>0</v>
      </c>
      <c r="F6">
        <v>0</v>
      </c>
      <c r="G6">
        <v>0</v>
      </c>
    </row>
    <row r="7" spans="1:7" ht="12.75">
      <c r="A7" s="52" t="str">
        <f>+INPUT!B32</f>
        <v>GW CBCU Kansas</v>
      </c>
      <c r="B7" s="52">
        <f>+INPUT!C32</f>
        <v>6768</v>
      </c>
      <c r="C7">
        <v>274</v>
      </c>
      <c r="D7">
        <v>205</v>
      </c>
      <c r="E7">
        <v>1519</v>
      </c>
      <c r="F7">
        <v>3028</v>
      </c>
      <c r="G7">
        <v>5199</v>
      </c>
    </row>
    <row r="8" spans="1:7" ht="12" customHeight="1">
      <c r="A8" s="52" t="str">
        <f>+INPUT!B33</f>
        <v>GW CBCU Nebraska</v>
      </c>
      <c r="B8" s="52">
        <f>+INPUT!C33</f>
        <v>5892</v>
      </c>
      <c r="C8">
        <v>777</v>
      </c>
      <c r="D8">
        <v>1278</v>
      </c>
      <c r="E8">
        <v>2684</v>
      </c>
      <c r="F8">
        <v>3517</v>
      </c>
      <c r="G8">
        <v>4862</v>
      </c>
    </row>
    <row r="9" spans="1:2" ht="12.75">
      <c r="A9" s="2" t="s">
        <v>78</v>
      </c>
      <c r="B9" s="2"/>
    </row>
    <row r="10" spans="1:2" ht="12.75">
      <c r="A10" s="5" t="s">
        <v>174</v>
      </c>
      <c r="B10" s="2"/>
    </row>
    <row r="11" spans="1:7" ht="12.75">
      <c r="A11" s="52" t="str">
        <f>+INPUT!B192</f>
        <v>Beaver Creek Near Beaver City</v>
      </c>
      <c r="B11" s="52">
        <f>+INPUT!C192</f>
        <v>1218</v>
      </c>
      <c r="C11">
        <v>220</v>
      </c>
      <c r="D11">
        <v>163</v>
      </c>
      <c r="E11">
        <v>173</v>
      </c>
      <c r="F11">
        <v>303</v>
      </c>
      <c r="G11">
        <v>1227</v>
      </c>
    </row>
    <row r="12" spans="1:7" ht="12.75">
      <c r="A12" s="52" t="str">
        <f>+INPUT!B110</f>
        <v>SW Diversions - Irrigation -Non-Federal Canals- Colorado</v>
      </c>
      <c r="B12" s="52">
        <f>+INPUT!C110</f>
        <v>0</v>
      </c>
      <c r="C12">
        <v>0</v>
      </c>
      <c r="D12">
        <v>0</v>
      </c>
      <c r="E12">
        <v>0</v>
      </c>
      <c r="F12">
        <v>0</v>
      </c>
      <c r="G12">
        <v>0</v>
      </c>
    </row>
    <row r="13" spans="1:7" ht="12.75">
      <c r="A13" s="104" t="str">
        <f>+INPUT!B111</f>
        <v>SW Diversions - Irrigation - Small Pumps - Colorado</v>
      </c>
      <c r="B13" s="104">
        <f>+INPUT!C111</f>
        <v>0</v>
      </c>
      <c r="C13">
        <v>0</v>
      </c>
      <c r="D13">
        <v>0</v>
      </c>
      <c r="E13">
        <v>0</v>
      </c>
      <c r="F13">
        <v>0</v>
      </c>
      <c r="G13">
        <v>0</v>
      </c>
    </row>
    <row r="14" spans="1:7" ht="12.75">
      <c r="A14" s="104" t="str">
        <f>+INPUT!B112</f>
        <v>SW Diversions - M&amp;I - Colorado</v>
      </c>
      <c r="B14" s="104">
        <f>+INPUT!C112</f>
        <v>0</v>
      </c>
      <c r="C14">
        <v>0</v>
      </c>
      <c r="D14">
        <v>0</v>
      </c>
      <c r="E14">
        <v>0</v>
      </c>
      <c r="F14">
        <v>0</v>
      </c>
      <c r="G14">
        <v>0</v>
      </c>
    </row>
    <row r="15" spans="1:7" ht="12.75">
      <c r="A15" s="104" t="str">
        <f>+INPUT!B113</f>
        <v>SW Diversions - Irrigation - Non-Federal Canals- Kansas</v>
      </c>
      <c r="B15" s="104">
        <f>+INPUT!C113</f>
        <v>0</v>
      </c>
      <c r="C15">
        <v>0</v>
      </c>
      <c r="D15">
        <v>0</v>
      </c>
      <c r="E15">
        <v>0</v>
      </c>
      <c r="F15">
        <v>0</v>
      </c>
      <c r="G15">
        <v>0</v>
      </c>
    </row>
    <row r="16" spans="1:7" ht="12.75">
      <c r="A16" s="104" t="str">
        <f>+INPUT!B114</f>
        <v>SW Diversions - Irrigation - Small Pumps - Kansas</v>
      </c>
      <c r="B16" s="104">
        <f>+INPUT!C114</f>
        <v>0</v>
      </c>
      <c r="C16">
        <v>26</v>
      </c>
      <c r="D16">
        <v>22</v>
      </c>
      <c r="E16">
        <v>12</v>
      </c>
      <c r="F16">
        <v>7.14</v>
      </c>
      <c r="G16">
        <v>0</v>
      </c>
    </row>
    <row r="17" spans="1:7" ht="12.75">
      <c r="A17" s="104" t="str">
        <f>+INPUT!B115</f>
        <v>SW Diversions - M&amp;I - Kansas</v>
      </c>
      <c r="B17" s="104">
        <f>+INPUT!C115</f>
        <v>0</v>
      </c>
      <c r="C17">
        <v>0</v>
      </c>
      <c r="D17">
        <v>0</v>
      </c>
      <c r="E17">
        <v>0</v>
      </c>
      <c r="F17">
        <v>0</v>
      </c>
      <c r="G17">
        <v>0</v>
      </c>
    </row>
    <row r="18" spans="1:7" ht="12.75">
      <c r="A18" s="104" t="str">
        <f>+INPUT!B116</f>
        <v>SW Diversions - Irrigation - Non-Federal Canals - Nebraska</v>
      </c>
      <c r="B18" s="104">
        <f>+INPUT!C116</f>
        <v>0</v>
      </c>
      <c r="C18">
        <v>0</v>
      </c>
      <c r="D18">
        <v>0</v>
      </c>
      <c r="E18">
        <v>0</v>
      </c>
      <c r="F18">
        <v>0</v>
      </c>
      <c r="G18">
        <v>0</v>
      </c>
    </row>
    <row r="19" spans="1:7" ht="12.75">
      <c r="A19" s="104" t="str">
        <f>+INPUT!B117</f>
        <v>SW Diversions - Irrigation - Small Pumps - Nebraska</v>
      </c>
      <c r="B19" s="104">
        <f>+INPUT!C117</f>
        <v>3</v>
      </c>
      <c r="C19">
        <v>0</v>
      </c>
      <c r="D19">
        <v>0</v>
      </c>
      <c r="E19">
        <v>0</v>
      </c>
      <c r="F19">
        <v>0</v>
      </c>
      <c r="G19">
        <v>3</v>
      </c>
    </row>
    <row r="20" spans="1:7" ht="12.75">
      <c r="A20" s="104" t="str">
        <f>+INPUT!B118</f>
        <v>SW Diversions - M&amp;I - Nebraska</v>
      </c>
      <c r="B20" s="104">
        <f>+INPUT!C118</f>
        <v>0</v>
      </c>
      <c r="C20">
        <v>0</v>
      </c>
      <c r="D20">
        <v>0</v>
      </c>
      <c r="E20">
        <v>0</v>
      </c>
      <c r="F20">
        <v>0</v>
      </c>
      <c r="G20">
        <v>0</v>
      </c>
    </row>
    <row r="21" spans="1:7" ht="12.75">
      <c r="A21" s="97" t="str">
        <f>INPUT!B119</f>
        <v>SW Diversions - Irrigation - Non-Federal Canals - Nebraska -Below Gage</v>
      </c>
      <c r="B21" s="97">
        <f>INPUT!C119</f>
        <v>0</v>
      </c>
      <c r="C21">
        <v>0</v>
      </c>
      <c r="D21">
        <v>0</v>
      </c>
      <c r="E21">
        <v>0</v>
      </c>
      <c r="F21">
        <v>0</v>
      </c>
      <c r="G21">
        <v>0</v>
      </c>
    </row>
    <row r="22" spans="1:7" ht="12.75">
      <c r="A22" s="97" t="str">
        <f>INPUT!B120</f>
        <v>SW Diversions - Irrigation - Small Pumps -Nebraska - Below Gage</v>
      </c>
      <c r="B22" s="97">
        <f>INPUT!C120</f>
        <v>0</v>
      </c>
      <c r="C22">
        <v>0</v>
      </c>
      <c r="D22">
        <v>0</v>
      </c>
      <c r="E22">
        <v>0</v>
      </c>
      <c r="F22">
        <v>0</v>
      </c>
      <c r="G22">
        <v>0</v>
      </c>
    </row>
    <row r="23" spans="1:7" ht="12.75">
      <c r="A23" s="97" t="str">
        <f>INPUT!B121</f>
        <v>SW Diversions - M&amp;I - Nebraska - Below Gage</v>
      </c>
      <c r="B23" s="97">
        <f>INPUT!C121</f>
        <v>0</v>
      </c>
      <c r="C23">
        <v>0</v>
      </c>
      <c r="D23">
        <v>0</v>
      </c>
      <c r="E23">
        <v>0</v>
      </c>
      <c r="F23">
        <v>0</v>
      </c>
      <c r="G23">
        <v>0</v>
      </c>
    </row>
    <row r="24" spans="1:7" ht="12.75">
      <c r="A24" s="104" t="str">
        <f>+INPUT!B169</f>
        <v>Non-Federal Reservoir Evaporation - Colorado</v>
      </c>
      <c r="B24" s="104">
        <f>+INPUT!C169</f>
        <v>0</v>
      </c>
      <c r="C24">
        <v>0</v>
      </c>
      <c r="D24">
        <v>0</v>
      </c>
      <c r="E24">
        <v>0</v>
      </c>
      <c r="F24">
        <v>0</v>
      </c>
      <c r="G24">
        <v>0</v>
      </c>
    </row>
    <row r="25" spans="1:7" ht="12.75">
      <c r="A25" s="104" t="str">
        <f>+INPUT!B170</f>
        <v>Non-Federal Reservoir Evaporation - Kansas</v>
      </c>
      <c r="B25" s="104">
        <f>+INPUT!C170</f>
        <v>260</v>
      </c>
      <c r="C25">
        <v>0</v>
      </c>
      <c r="D25">
        <v>134.7</v>
      </c>
      <c r="E25">
        <v>134.7</v>
      </c>
      <c r="F25">
        <v>233.61</v>
      </c>
      <c r="G25">
        <v>254</v>
      </c>
    </row>
    <row r="26" spans="1:7" ht="12.75">
      <c r="A26" s="104" t="str">
        <f>+INPUT!B171</f>
        <v>Non-Federal Reservoir Evaporation - Nebraska</v>
      </c>
      <c r="B26" s="104">
        <f>+INPUT!C171</f>
        <v>47</v>
      </c>
      <c r="C26">
        <v>0</v>
      </c>
      <c r="D26">
        <v>23.4</v>
      </c>
      <c r="E26">
        <v>50.7</v>
      </c>
      <c r="F26">
        <v>22.51</v>
      </c>
      <c r="G26">
        <v>59</v>
      </c>
    </row>
    <row r="27" spans="1:7" ht="12.75">
      <c r="A27" s="104" t="str">
        <f>+INPUT!B172</f>
        <v>Non-Federal Reservoir Evaporation - Nebraska - Below Gage</v>
      </c>
      <c r="B27" s="104">
        <f>+INPUT!C172</f>
        <v>0</v>
      </c>
      <c r="C27">
        <v>0</v>
      </c>
      <c r="D27">
        <v>0</v>
      </c>
      <c r="E27">
        <v>0</v>
      </c>
      <c r="F27">
        <v>0</v>
      </c>
      <c r="G27">
        <v>0</v>
      </c>
    </row>
    <row r="28" spans="1:7" ht="12.75">
      <c r="A28" s="104" t="str">
        <f>+INPUT!B208</f>
        <v>Beaver Flood Flow</v>
      </c>
      <c r="B28" s="104">
        <f>+INPUT!C208</f>
        <v>0</v>
      </c>
      <c r="C28">
        <v>0</v>
      </c>
      <c r="D28">
        <v>0</v>
      </c>
      <c r="E28">
        <v>0</v>
      </c>
      <c r="F28">
        <v>0</v>
      </c>
      <c r="G28">
        <v>0</v>
      </c>
    </row>
    <row r="29" spans="1:2" ht="12.75">
      <c r="A29" s="119" t="s">
        <v>78</v>
      </c>
      <c r="B29" s="16"/>
    </row>
    <row r="30" spans="1:2" ht="15.75">
      <c r="A30" s="10" t="s">
        <v>255</v>
      </c>
      <c r="B30" s="16"/>
    </row>
    <row r="31" spans="1:2" ht="12.75">
      <c r="A31" s="8" t="s">
        <v>0</v>
      </c>
      <c r="B31" s="16"/>
    </row>
    <row r="32" spans="1:7" ht="12.75">
      <c r="A32" s="16" t="str">
        <f>'NORTH FORK'!A23</f>
        <v>SW CBCU - Irrigation - Non Federal Canals</v>
      </c>
      <c r="B32" s="16">
        <f>+B12*CanalCUPercent</f>
        <v>0</v>
      </c>
      <c r="C32">
        <v>0</v>
      </c>
      <c r="D32">
        <v>0</v>
      </c>
      <c r="E32">
        <v>0</v>
      </c>
      <c r="F32">
        <v>0</v>
      </c>
      <c r="G32">
        <v>0</v>
      </c>
    </row>
    <row r="33" spans="1:7" ht="12.75">
      <c r="A33" s="16" t="str">
        <f>'NORTH FORK'!A24</f>
        <v>SW CBCU - Irrigation - Small Pumps</v>
      </c>
      <c r="B33" s="16">
        <f>+B13*PumperCUPercent</f>
        <v>0</v>
      </c>
      <c r="C33">
        <v>0</v>
      </c>
      <c r="D33">
        <v>0</v>
      </c>
      <c r="E33">
        <v>0</v>
      </c>
      <c r="F33">
        <v>0</v>
      </c>
      <c r="G33">
        <v>0</v>
      </c>
    </row>
    <row r="34" spans="1:7" ht="12.75">
      <c r="A34" s="16" t="str">
        <f>'NORTH FORK'!A25</f>
        <v>SW CBCU - M&amp;I</v>
      </c>
      <c r="B34" s="16">
        <f>+B14*MI_CUPercent</f>
        <v>0</v>
      </c>
      <c r="C34">
        <v>0</v>
      </c>
      <c r="D34">
        <v>0</v>
      </c>
      <c r="E34">
        <v>0</v>
      </c>
      <c r="F34">
        <v>0</v>
      </c>
      <c r="G34">
        <v>0</v>
      </c>
    </row>
    <row r="35" spans="1:7" ht="12.75">
      <c r="A35" s="16" t="str">
        <f>'NORTH FORK'!A26</f>
        <v>Non-Federal Reservoir Evaporation</v>
      </c>
      <c r="B35" s="16">
        <f>+B24</f>
        <v>0</v>
      </c>
      <c r="C35">
        <v>0</v>
      </c>
      <c r="D35">
        <v>0</v>
      </c>
      <c r="E35">
        <v>0</v>
      </c>
      <c r="F35">
        <v>0</v>
      </c>
      <c r="G35">
        <v>0</v>
      </c>
    </row>
    <row r="36" spans="1:7" ht="12.75">
      <c r="A36" s="16" t="str">
        <f>'NORTH FORK'!A27</f>
        <v>SW CBCU</v>
      </c>
      <c r="B36" s="73">
        <f>B32+B33+B34+B35</f>
        <v>0</v>
      </c>
      <c r="C36">
        <v>0</v>
      </c>
      <c r="D36">
        <v>0</v>
      </c>
      <c r="E36">
        <v>0</v>
      </c>
      <c r="F36">
        <v>0</v>
      </c>
      <c r="G36">
        <v>0</v>
      </c>
    </row>
    <row r="37" spans="1:7" ht="12.75">
      <c r="A37" s="16" t="str">
        <f>'NORTH FORK'!A28</f>
        <v>GW CBCU</v>
      </c>
      <c r="B37" s="16">
        <f>+B6</f>
        <v>0</v>
      </c>
      <c r="C37">
        <v>0</v>
      </c>
      <c r="D37">
        <v>0</v>
      </c>
      <c r="E37">
        <v>0</v>
      </c>
      <c r="F37">
        <v>0</v>
      </c>
      <c r="G37">
        <v>0</v>
      </c>
    </row>
    <row r="38" spans="1:7" ht="12.75">
      <c r="A38" s="16" t="str">
        <f>'NORTH FORK'!A29</f>
        <v>Total CBCU</v>
      </c>
      <c r="B38" s="73">
        <f>(ROUND(SUM(B36:B37),-1))</f>
        <v>0</v>
      </c>
      <c r="C38">
        <v>0</v>
      </c>
      <c r="D38">
        <v>0</v>
      </c>
      <c r="E38">
        <v>0</v>
      </c>
      <c r="F38">
        <v>0</v>
      </c>
      <c r="G38">
        <v>0</v>
      </c>
    </row>
    <row r="39" spans="1:2" ht="12.75">
      <c r="A39" s="16" t="s">
        <v>78</v>
      </c>
      <c r="B39" s="16"/>
    </row>
    <row r="40" spans="1:2" ht="12.75">
      <c r="A40" s="8" t="s">
        <v>175</v>
      </c>
      <c r="B40" s="16"/>
    </row>
    <row r="41" spans="1:7" ht="12.75">
      <c r="A41" s="12" t="str">
        <f>'NORTH FORK'!A23</f>
        <v>SW CBCU - Irrigation - Non Federal Canals</v>
      </c>
      <c r="B41" s="16">
        <f>B15*CanalCUPercent</f>
        <v>0</v>
      </c>
      <c r="C41">
        <v>0</v>
      </c>
      <c r="D41">
        <v>0</v>
      </c>
      <c r="E41">
        <v>0</v>
      </c>
      <c r="F41">
        <v>0</v>
      </c>
      <c r="G41">
        <v>0</v>
      </c>
    </row>
    <row r="42" spans="1:7" ht="12.75">
      <c r="A42" s="12" t="str">
        <f>'NORTH FORK'!A24</f>
        <v>SW CBCU - Irrigation - Small Pumps</v>
      </c>
      <c r="B42" s="16">
        <f>+B16*PumperCUPercent</f>
        <v>0</v>
      </c>
      <c r="C42">
        <v>19.5</v>
      </c>
      <c r="D42">
        <v>16.5</v>
      </c>
      <c r="E42">
        <v>9</v>
      </c>
      <c r="F42">
        <v>5.355</v>
      </c>
      <c r="G42">
        <v>0</v>
      </c>
    </row>
    <row r="43" spans="1:7" ht="12.75">
      <c r="A43" s="12" t="str">
        <f>'NORTH FORK'!A25</f>
        <v>SW CBCU - M&amp;I</v>
      </c>
      <c r="B43" s="16">
        <f>+B17*MI_CUPercent</f>
        <v>0</v>
      </c>
      <c r="C43">
        <v>0</v>
      </c>
      <c r="D43">
        <v>0</v>
      </c>
      <c r="E43">
        <v>0</v>
      </c>
      <c r="F43">
        <v>0</v>
      </c>
      <c r="G43">
        <v>0</v>
      </c>
    </row>
    <row r="44" spans="1:7" ht="12.75">
      <c r="A44" s="16" t="str">
        <f>'NORTH FORK'!A26</f>
        <v>Non-Federal Reservoir Evaporation</v>
      </c>
      <c r="B44" s="16">
        <f>B25</f>
        <v>260</v>
      </c>
      <c r="C44">
        <v>0</v>
      </c>
      <c r="D44">
        <v>134.7</v>
      </c>
      <c r="E44">
        <v>134.7</v>
      </c>
      <c r="F44">
        <v>233.61</v>
      </c>
      <c r="G44">
        <v>254</v>
      </c>
    </row>
    <row r="45" spans="1:7" ht="12.75">
      <c r="A45" s="16" t="str">
        <f>'NORTH FORK'!A27</f>
        <v>SW CBCU</v>
      </c>
      <c r="B45" s="73">
        <f>B41+B42+B43+B44</f>
        <v>260</v>
      </c>
      <c r="C45">
        <v>19.5</v>
      </c>
      <c r="D45">
        <v>151.2</v>
      </c>
      <c r="E45">
        <v>143.7</v>
      </c>
      <c r="F45">
        <v>238.965</v>
      </c>
      <c r="G45">
        <v>254</v>
      </c>
    </row>
    <row r="46" spans="1:7" ht="12.75">
      <c r="A46" s="16" t="str">
        <f>'NORTH FORK'!A28</f>
        <v>GW CBCU</v>
      </c>
      <c r="B46" s="16">
        <f>+B7</f>
        <v>6768</v>
      </c>
      <c r="C46">
        <v>274</v>
      </c>
      <c r="D46">
        <v>205</v>
      </c>
      <c r="E46">
        <v>1519</v>
      </c>
      <c r="F46">
        <v>3028</v>
      </c>
      <c r="G46">
        <v>5199</v>
      </c>
    </row>
    <row r="47" spans="1:7" ht="12.75">
      <c r="A47" s="16" t="str">
        <f>'NORTH FORK'!A29</f>
        <v>Total CBCU</v>
      </c>
      <c r="B47" s="73">
        <f>(ROUND(SUM(B45:B46),-1))</f>
        <v>7030</v>
      </c>
      <c r="C47">
        <v>290</v>
      </c>
      <c r="D47">
        <v>360</v>
      </c>
      <c r="E47">
        <v>1660</v>
      </c>
      <c r="F47">
        <v>3270</v>
      </c>
      <c r="G47">
        <v>5450</v>
      </c>
    </row>
    <row r="48" spans="1:2" ht="12.75">
      <c r="A48" s="16" t="s">
        <v>78</v>
      </c>
      <c r="B48" s="16"/>
    </row>
    <row r="49" spans="1:2" ht="12.75">
      <c r="A49" s="8" t="s">
        <v>1</v>
      </c>
      <c r="B49" s="16"/>
    </row>
    <row r="50" spans="1:7" ht="12.75">
      <c r="A50" s="16" t="str">
        <f>'NORTH FORK'!A23</f>
        <v>SW CBCU - Irrigation - Non Federal Canals</v>
      </c>
      <c r="B50" s="73">
        <f>B18*CanalCUPercent</f>
        <v>0</v>
      </c>
      <c r="C50">
        <v>0</v>
      </c>
      <c r="D50">
        <v>0</v>
      </c>
      <c r="E50">
        <v>0</v>
      </c>
      <c r="F50">
        <v>0</v>
      </c>
      <c r="G50">
        <v>0</v>
      </c>
    </row>
    <row r="51" spans="1:7" ht="12.75">
      <c r="A51" s="16" t="str">
        <f>'NORTH FORK'!A24</f>
        <v>SW CBCU - Irrigation - Small Pumps</v>
      </c>
      <c r="B51" s="73">
        <f>B19*PumperCUPercent</f>
        <v>2.25</v>
      </c>
      <c r="C51">
        <v>0</v>
      </c>
      <c r="D51">
        <v>0</v>
      </c>
      <c r="E51">
        <v>0</v>
      </c>
      <c r="F51">
        <v>0</v>
      </c>
      <c r="G51">
        <v>2.25</v>
      </c>
    </row>
    <row r="52" spans="1:7" ht="12.75">
      <c r="A52" s="16" t="str">
        <f>'NORTH FORK'!A25</f>
        <v>SW CBCU - M&amp;I</v>
      </c>
      <c r="B52" s="16">
        <f>B20*MI_CUPercent</f>
        <v>0</v>
      </c>
      <c r="C52">
        <v>0</v>
      </c>
      <c r="D52">
        <v>0</v>
      </c>
      <c r="E52">
        <v>0</v>
      </c>
      <c r="F52">
        <v>0</v>
      </c>
      <c r="G52">
        <v>0</v>
      </c>
    </row>
    <row r="53" spans="1:7" ht="12.75">
      <c r="A53" s="97" t="str">
        <f>'MEDICINE CREEK'!A37</f>
        <v>SW CBCU - Irrigation - Non Federal Canals - Below Gage</v>
      </c>
      <c r="B53" s="120">
        <f>B21*CanalCUPercent</f>
        <v>0</v>
      </c>
      <c r="C53">
        <v>0</v>
      </c>
      <c r="D53">
        <v>0</v>
      </c>
      <c r="E53">
        <v>0</v>
      </c>
      <c r="F53">
        <v>0</v>
      </c>
      <c r="G53">
        <v>0</v>
      </c>
    </row>
    <row r="54" spans="1:7" ht="12.75">
      <c r="A54" s="97" t="str">
        <f>'MEDICINE CREEK'!A38</f>
        <v>SW CBCU - Irrigation - Small Pumps - Below Gage</v>
      </c>
      <c r="B54" s="120">
        <f>B22*PumperCUPercent</f>
        <v>0</v>
      </c>
      <c r="C54">
        <v>0</v>
      </c>
      <c r="D54">
        <v>0</v>
      </c>
      <c r="E54">
        <v>0</v>
      </c>
      <c r="F54">
        <v>0</v>
      </c>
      <c r="G54">
        <v>0</v>
      </c>
    </row>
    <row r="55" spans="1:7" ht="12.75">
      <c r="A55" s="97" t="str">
        <f>'MEDICINE CREEK'!A39</f>
        <v>SW CBCU - M&amp;I - Below Gage</v>
      </c>
      <c r="B55" s="120">
        <f>B23*MI_CUPercent</f>
        <v>0</v>
      </c>
      <c r="C55">
        <v>0</v>
      </c>
      <c r="D55">
        <v>0</v>
      </c>
      <c r="E55">
        <v>0</v>
      </c>
      <c r="F55">
        <v>0</v>
      </c>
      <c r="G55">
        <v>0</v>
      </c>
    </row>
    <row r="56" spans="1:7" ht="12.75">
      <c r="A56" s="16" t="str">
        <f>'NORTH FORK'!A26</f>
        <v>Non-Federal Reservoir Evaporation</v>
      </c>
      <c r="B56" s="16">
        <f>B26</f>
        <v>47</v>
      </c>
      <c r="C56">
        <v>0</v>
      </c>
      <c r="D56">
        <v>23.4</v>
      </c>
      <c r="E56">
        <v>50.7</v>
      </c>
      <c r="F56">
        <v>22.51</v>
      </c>
      <c r="G56">
        <v>59</v>
      </c>
    </row>
    <row r="57" spans="1:7" ht="12.75">
      <c r="A57" s="16" t="str">
        <f>'MEDICINE CREEK'!A41</f>
        <v>Non-Federal Reservoir Evaporation - Below gage</v>
      </c>
      <c r="B57" s="16">
        <f>B27</f>
        <v>0</v>
      </c>
      <c r="C57">
        <v>0</v>
      </c>
      <c r="D57">
        <v>0</v>
      </c>
      <c r="E57">
        <v>0</v>
      </c>
      <c r="F57">
        <v>0</v>
      </c>
      <c r="G57">
        <v>0</v>
      </c>
    </row>
    <row r="58" spans="1:7" ht="12.75">
      <c r="A58" s="16" t="str">
        <f>'NORTH FORK'!A27</f>
        <v>SW CBCU</v>
      </c>
      <c r="B58" s="73">
        <f>B50+B51+B52+B53+B54+B55+B56+B57</f>
        <v>49.25</v>
      </c>
      <c r="C58">
        <v>0</v>
      </c>
      <c r="D58">
        <v>23.4</v>
      </c>
      <c r="E58">
        <v>50.7</v>
      </c>
      <c r="F58">
        <v>22.51</v>
      </c>
      <c r="G58">
        <v>61.25</v>
      </c>
    </row>
    <row r="59" spans="1:7" ht="12.75">
      <c r="A59" s="16" t="str">
        <f>'NORTH FORK'!A28</f>
        <v>GW CBCU</v>
      </c>
      <c r="B59" s="16">
        <f>+B8</f>
        <v>5892</v>
      </c>
      <c r="C59">
        <v>777</v>
      </c>
      <c r="D59">
        <v>1278</v>
      </c>
      <c r="E59">
        <v>2684</v>
      </c>
      <c r="F59">
        <v>3517</v>
      </c>
      <c r="G59">
        <v>4862</v>
      </c>
    </row>
    <row r="60" spans="1:7" ht="12.75">
      <c r="A60" s="16" t="str">
        <f>'NORTH FORK'!A29</f>
        <v>Total CBCU</v>
      </c>
      <c r="B60" s="73">
        <f>(ROUND(SUM(B58:B59),-1))</f>
        <v>5940</v>
      </c>
      <c r="C60">
        <v>780</v>
      </c>
      <c r="D60">
        <v>1300</v>
      </c>
      <c r="E60">
        <v>2730</v>
      </c>
      <c r="F60">
        <v>3540</v>
      </c>
      <c r="G60">
        <v>4920</v>
      </c>
    </row>
    <row r="61" spans="1:7" ht="12.75">
      <c r="A61" s="97" t="s">
        <v>78</v>
      </c>
      <c r="B61" s="16">
        <f>'T2'!D5</f>
        <v>0</v>
      </c>
      <c r="F61">
        <v>0</v>
      </c>
      <c r="G61">
        <v>0</v>
      </c>
    </row>
    <row r="62" spans="1:2" ht="12.75">
      <c r="A62" s="49" t="s">
        <v>355</v>
      </c>
      <c r="B62" s="16"/>
    </row>
    <row r="63" spans="1:7" ht="12.75">
      <c r="A63" s="16" t="s">
        <v>241</v>
      </c>
      <c r="B63" s="73">
        <f>'T2'!F5</f>
        <v>0</v>
      </c>
      <c r="C63">
        <v>0</v>
      </c>
      <c r="D63">
        <v>0</v>
      </c>
      <c r="E63">
        <v>0</v>
      </c>
      <c r="F63">
        <v>0</v>
      </c>
      <c r="G63">
        <v>0</v>
      </c>
    </row>
    <row r="64" spans="1:7" ht="12.75">
      <c r="A64" s="97" t="s">
        <v>356</v>
      </c>
      <c r="B64" s="73">
        <f>B63</f>
        <v>0</v>
      </c>
      <c r="C64">
        <v>0</v>
      </c>
      <c r="D64">
        <v>0</v>
      </c>
      <c r="E64">
        <v>0</v>
      </c>
      <c r="F64">
        <v>0</v>
      </c>
      <c r="G64">
        <v>0</v>
      </c>
    </row>
    <row r="65" spans="1:7" ht="12.75">
      <c r="A65" s="97"/>
      <c r="B65" s="16">
        <f>'T2'!H5</f>
        <v>0.33</v>
      </c>
      <c r="F65">
        <v>0.33</v>
      </c>
      <c r="G65">
        <v>0.33</v>
      </c>
    </row>
    <row r="66" spans="1:2" ht="12.75">
      <c r="A66" s="5" t="s">
        <v>176</v>
      </c>
      <c r="B66" s="16"/>
    </row>
    <row r="67" spans="1:7" ht="12.75">
      <c r="A67" s="97" t="str">
        <f>'NORTH FORK'!A42</f>
        <v>Total SW CBCU</v>
      </c>
      <c r="B67" s="73">
        <f>+B45+B58+B36</f>
        <v>309.25</v>
      </c>
      <c r="C67">
        <v>19.5</v>
      </c>
      <c r="D67">
        <v>174.6</v>
      </c>
      <c r="E67">
        <v>194.4</v>
      </c>
      <c r="F67">
        <v>261.475</v>
      </c>
      <c r="G67">
        <v>315.25</v>
      </c>
    </row>
    <row r="68" spans="1:7" ht="12.75">
      <c r="A68" s="97" t="str">
        <f>'NORTH FORK'!A43</f>
        <v>Total GW CBCU</v>
      </c>
      <c r="B68" s="120">
        <f>B59+B46+B37</f>
        <v>12660</v>
      </c>
      <c r="C68">
        <v>1051</v>
      </c>
      <c r="D68">
        <v>1483</v>
      </c>
      <c r="E68">
        <v>4203</v>
      </c>
      <c r="F68">
        <v>6545</v>
      </c>
      <c r="G68">
        <v>10061</v>
      </c>
    </row>
    <row r="69" spans="1:7" ht="12.75">
      <c r="A69" s="97" t="str">
        <f>'NORTH FORK'!A44</f>
        <v>Total Basin CBCU</v>
      </c>
      <c r="B69" s="73">
        <f>(ROUND(SUM(B67:B68),-1))</f>
        <v>12970</v>
      </c>
      <c r="C69">
        <v>1070</v>
      </c>
      <c r="D69">
        <v>1660</v>
      </c>
      <c r="E69">
        <v>4400</v>
      </c>
      <c r="F69">
        <v>6810</v>
      </c>
      <c r="G69">
        <v>10380</v>
      </c>
    </row>
    <row r="70" spans="1:2" ht="12.75">
      <c r="A70" s="97" t="s">
        <v>78</v>
      </c>
      <c r="B70" s="16"/>
    </row>
    <row r="71" spans="1:2" ht="15.75">
      <c r="A71" s="11" t="s">
        <v>10</v>
      </c>
      <c r="B71" s="16"/>
    </row>
    <row r="72" spans="1:7" ht="12.75">
      <c r="A72" s="73" t="str">
        <f>A11</f>
        <v>Beaver Creek Near Beaver City</v>
      </c>
      <c r="B72" s="73">
        <f>B11</f>
        <v>1218</v>
      </c>
      <c r="C72">
        <v>220</v>
      </c>
      <c r="D72">
        <v>163</v>
      </c>
      <c r="E72">
        <v>173</v>
      </c>
      <c r="F72">
        <v>303</v>
      </c>
      <c r="G72">
        <v>1227</v>
      </c>
    </row>
    <row r="73" spans="1:7" ht="12.75">
      <c r="A73" s="16" t="str">
        <f>'NORTH FORK'!A49</f>
        <v>Colorado CBCU</v>
      </c>
      <c r="B73" s="73">
        <f>+B38</f>
        <v>0</v>
      </c>
      <c r="C73">
        <v>0</v>
      </c>
      <c r="D73">
        <v>0</v>
      </c>
      <c r="E73">
        <v>0</v>
      </c>
      <c r="F73">
        <v>0</v>
      </c>
      <c r="G73">
        <v>0</v>
      </c>
    </row>
    <row r="74" spans="1:7" ht="12.75">
      <c r="A74" s="16" t="str">
        <f>'NORTH FORK'!A50</f>
        <v>Kansas CBCU</v>
      </c>
      <c r="B74" s="73">
        <f>+B47</f>
        <v>7030</v>
      </c>
      <c r="C74">
        <v>290</v>
      </c>
      <c r="D74">
        <v>360</v>
      </c>
      <c r="E74">
        <v>1660</v>
      </c>
      <c r="F74">
        <v>3270</v>
      </c>
      <c r="G74">
        <v>5450</v>
      </c>
    </row>
    <row r="75" spans="1:7" ht="12.75">
      <c r="A75" s="16" t="str">
        <f>'NORTH FORK'!A51</f>
        <v>Nebraska CBCU</v>
      </c>
      <c r="B75" s="73">
        <f>+B60</f>
        <v>5940</v>
      </c>
      <c r="C75">
        <v>780</v>
      </c>
      <c r="D75">
        <v>1300</v>
      </c>
      <c r="E75">
        <v>2730</v>
      </c>
      <c r="F75">
        <v>3540</v>
      </c>
      <c r="G75">
        <v>4920</v>
      </c>
    </row>
    <row r="76" spans="1:7" ht="12.75">
      <c r="A76" s="16" t="s">
        <v>241</v>
      </c>
      <c r="B76" s="73">
        <f>B63</f>
        <v>0</v>
      </c>
      <c r="C76">
        <v>0</v>
      </c>
      <c r="D76">
        <v>0</v>
      </c>
      <c r="E76">
        <v>0</v>
      </c>
      <c r="F76">
        <v>0</v>
      </c>
      <c r="G76">
        <v>0</v>
      </c>
    </row>
    <row r="77" spans="1:7" ht="12.75">
      <c r="A77" s="16" t="str">
        <f>'NORTH FORK'!A52</f>
        <v>Imported Water</v>
      </c>
      <c r="B77" s="16">
        <f>B5</f>
        <v>0</v>
      </c>
      <c r="C77">
        <v>0</v>
      </c>
      <c r="D77">
        <v>0</v>
      </c>
      <c r="E77">
        <v>0</v>
      </c>
      <c r="F77">
        <v>0</v>
      </c>
      <c r="G77">
        <v>0</v>
      </c>
    </row>
    <row r="78" spans="1:7" ht="12.75">
      <c r="A78" s="16" t="str">
        <f>'NORTH FORK'!A53</f>
        <v>Virgin Water Supply</v>
      </c>
      <c r="B78" s="73">
        <f>ROUND(SUM(B72:B75)-B77-B76,-1)</f>
        <v>14190</v>
      </c>
      <c r="C78">
        <v>1290</v>
      </c>
      <c r="D78">
        <v>1820</v>
      </c>
      <c r="E78">
        <v>4560</v>
      </c>
      <c r="F78">
        <v>7110</v>
      </c>
      <c r="G78">
        <v>11600</v>
      </c>
    </row>
    <row r="79" spans="1:7" ht="12.75">
      <c r="A79" s="16" t="str">
        <f>'NORTH FORK'!A54</f>
        <v>Adjustment For Flood Flows</v>
      </c>
      <c r="B79" s="16">
        <f>B28</f>
        <v>0</v>
      </c>
      <c r="C79">
        <v>0</v>
      </c>
      <c r="D79">
        <v>0</v>
      </c>
      <c r="E79">
        <v>0</v>
      </c>
      <c r="F79">
        <v>0</v>
      </c>
      <c r="G79">
        <v>0</v>
      </c>
    </row>
    <row r="80" spans="1:7" ht="12.75">
      <c r="A80" s="16" t="str">
        <f>'NORTH FORK'!A55</f>
        <v>Computed Water Supply</v>
      </c>
      <c r="B80" s="73">
        <f>+ROUND(B78-B79,-1)</f>
        <v>14190</v>
      </c>
      <c r="C80">
        <v>1290</v>
      </c>
      <c r="D80">
        <v>1820</v>
      </c>
      <c r="E80">
        <v>4560</v>
      </c>
      <c r="F80">
        <v>7110</v>
      </c>
      <c r="G80">
        <v>11600</v>
      </c>
    </row>
    <row r="81" spans="1:2" ht="12.75">
      <c r="A81" s="97" t="s">
        <v>78</v>
      </c>
      <c r="B81" s="16"/>
    </row>
    <row r="82" spans="1:2" ht="15.75">
      <c r="A82" s="11" t="s">
        <v>12</v>
      </c>
      <c r="B82" s="13"/>
    </row>
    <row r="83" spans="1:7" ht="12.75">
      <c r="A83" s="16" t="str">
        <f>'NORTH FORK'!A58</f>
        <v>Colorado Percent Of Allocation</v>
      </c>
      <c r="B83" s="123">
        <f>'T2'!$D12</f>
        <v>0.2</v>
      </c>
      <c r="C83">
        <v>0.2</v>
      </c>
      <c r="D83">
        <v>0.2</v>
      </c>
      <c r="E83">
        <v>0.2</v>
      </c>
      <c r="F83">
        <v>0.2</v>
      </c>
      <c r="G83">
        <v>0.2</v>
      </c>
    </row>
    <row r="84" spans="1:7" ht="12.75">
      <c r="A84" s="16" t="str">
        <f>'NORTH FORK'!A59</f>
        <v>Colorado Allocation</v>
      </c>
      <c r="B84" s="73">
        <f>ROUND(+B80*B83,-1)</f>
        <v>2840</v>
      </c>
      <c r="C84">
        <v>260</v>
      </c>
      <c r="D84">
        <v>360</v>
      </c>
      <c r="E84">
        <v>910</v>
      </c>
      <c r="F84">
        <v>1420</v>
      </c>
      <c r="G84">
        <v>2320</v>
      </c>
    </row>
    <row r="85" spans="1:7" ht="12.75">
      <c r="A85" s="16" t="str">
        <f>'NORTH FORK'!A60</f>
        <v>Kansas Percent Of Allocation</v>
      </c>
      <c r="B85" s="123">
        <f>'T2'!$F12</f>
        <v>0.388</v>
      </c>
      <c r="C85">
        <v>0.388</v>
      </c>
      <c r="D85">
        <v>0.388</v>
      </c>
      <c r="E85">
        <v>0.388</v>
      </c>
      <c r="F85">
        <v>0.388</v>
      </c>
      <c r="G85">
        <v>0.388</v>
      </c>
    </row>
    <row r="86" spans="1:7" ht="12.75">
      <c r="A86" s="16" t="str">
        <f>'NORTH FORK'!A61</f>
        <v>Kansas Allocation</v>
      </c>
      <c r="B86" s="73">
        <f>ROUND(B80*B85,-1)</f>
        <v>5510</v>
      </c>
      <c r="C86">
        <v>500</v>
      </c>
      <c r="D86">
        <v>710</v>
      </c>
      <c r="E86">
        <v>1770</v>
      </c>
      <c r="F86">
        <v>2760</v>
      </c>
      <c r="G86">
        <v>4500</v>
      </c>
    </row>
    <row r="87" spans="1:7" ht="12.75">
      <c r="A87" s="16" t="str">
        <f>'NORTH FORK'!A62</f>
        <v>Nebraska Percent Of Allocation</v>
      </c>
      <c r="B87" s="123">
        <f>'T2'!$H12</f>
        <v>0.406</v>
      </c>
      <c r="C87">
        <v>0.406</v>
      </c>
      <c r="D87">
        <v>0.406</v>
      </c>
      <c r="E87">
        <v>0.406</v>
      </c>
      <c r="F87">
        <v>0.406</v>
      </c>
      <c r="G87">
        <v>0.406</v>
      </c>
    </row>
    <row r="88" spans="1:7" ht="12.75">
      <c r="A88" s="2" t="str">
        <f>'NORTH FORK'!A63</f>
        <v>Nebraska Allocation</v>
      </c>
      <c r="B88" s="4">
        <f>ROUND(B80*B87,-1)</f>
        <v>5760</v>
      </c>
      <c r="C88">
        <v>520</v>
      </c>
      <c r="D88">
        <v>740</v>
      </c>
      <c r="E88">
        <v>1850</v>
      </c>
      <c r="F88">
        <v>2890</v>
      </c>
      <c r="G88">
        <v>4710</v>
      </c>
    </row>
    <row r="89" spans="1:7" ht="12.75">
      <c r="A89" s="2" t="str">
        <f>'NORTH FORK'!A64</f>
        <v>Total Basin Allocation</v>
      </c>
      <c r="B89" s="4">
        <f>+B84+B86+B88</f>
        <v>14110</v>
      </c>
      <c r="C89">
        <v>1280</v>
      </c>
      <c r="D89">
        <v>1810</v>
      </c>
      <c r="E89">
        <v>4530</v>
      </c>
      <c r="F89">
        <v>7070</v>
      </c>
      <c r="G89">
        <v>11530</v>
      </c>
    </row>
    <row r="90" spans="1:7" ht="12.75">
      <c r="A90" s="2" t="s">
        <v>184</v>
      </c>
      <c r="B90" s="15">
        <f>'T2'!$J12</f>
        <v>0.006</v>
      </c>
      <c r="C90">
        <v>0.006</v>
      </c>
      <c r="D90">
        <v>0.006</v>
      </c>
      <c r="E90">
        <v>0.006</v>
      </c>
      <c r="F90">
        <v>0.006</v>
      </c>
      <c r="G90">
        <v>0.006</v>
      </c>
    </row>
    <row r="91" spans="1:7" ht="12.75">
      <c r="A91" s="2" t="str">
        <f>'NORTH FORK'!A66</f>
        <v>Quantity Of Unallocated Supply</v>
      </c>
      <c r="B91" s="4">
        <f>+B80-B84-B86-B88</f>
        <v>80</v>
      </c>
      <c r="C91">
        <v>10</v>
      </c>
      <c r="D91">
        <v>10</v>
      </c>
      <c r="E91">
        <v>30</v>
      </c>
      <c r="F91">
        <v>40</v>
      </c>
      <c r="G91">
        <v>70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4.xml><?xml version="1.0" encoding="utf-8"?>
<worksheet xmlns="http://schemas.openxmlformats.org/spreadsheetml/2006/main" xmlns:r="http://schemas.openxmlformats.org/officeDocument/2006/relationships">
  <sheetPr codeName="Sheet13"/>
  <dimension ref="A1:G85"/>
  <sheetViews>
    <sheetView zoomScalePageLayoutView="0" workbookViewId="0" topLeftCell="A43">
      <selection activeCell="B62" sqref="B62"/>
    </sheetView>
  </sheetViews>
  <sheetFormatPr defaultColWidth="9.140625" defaultRowHeight="12.75"/>
  <cols>
    <col min="1" max="1" width="74.7109375" style="0" customWidth="1"/>
    <col min="2" max="2" width="10.00390625" style="0" customWidth="1"/>
  </cols>
  <sheetData>
    <row r="1" spans="1:7" ht="15.75">
      <c r="A1" s="59" t="s">
        <v>216</v>
      </c>
      <c r="B1" s="5">
        <v>2008</v>
      </c>
      <c r="C1">
        <v>2003</v>
      </c>
      <c r="D1">
        <v>2004</v>
      </c>
      <c r="E1" s="275">
        <v>2005</v>
      </c>
      <c r="F1" s="275">
        <v>2006</v>
      </c>
      <c r="G1" s="275">
        <v>2007</v>
      </c>
    </row>
    <row r="2" ht="12.75"/>
    <row r="3" spans="1:2" ht="15.75">
      <c r="A3" s="10" t="s">
        <v>171</v>
      </c>
      <c r="B3" s="294"/>
    </row>
    <row r="4" spans="1:2" ht="12.75">
      <c r="A4" s="8" t="s">
        <v>172</v>
      </c>
      <c r="B4" s="295"/>
    </row>
    <row r="5" spans="1:7" ht="12.75">
      <c r="A5" s="52" t="str">
        <f>+INPUT!B56</f>
        <v>Imported Water Nebraska</v>
      </c>
      <c r="B5" s="52">
        <f>+INPUT!C56</f>
        <v>0</v>
      </c>
      <c r="C5">
        <v>0</v>
      </c>
      <c r="D5">
        <v>0</v>
      </c>
      <c r="E5">
        <v>0</v>
      </c>
      <c r="F5">
        <v>0</v>
      </c>
      <c r="G5">
        <v>0</v>
      </c>
    </row>
    <row r="6" spans="1:7" ht="12.75">
      <c r="A6" s="52" t="str">
        <f>+INPUT!B34</f>
        <v>GW CBCU Colorado</v>
      </c>
      <c r="B6" s="52">
        <f>+INPUT!C34</f>
        <v>0</v>
      </c>
      <c r="C6">
        <v>0</v>
      </c>
      <c r="D6">
        <v>0</v>
      </c>
      <c r="E6">
        <v>0</v>
      </c>
      <c r="F6">
        <v>0</v>
      </c>
      <c r="G6">
        <v>0</v>
      </c>
    </row>
    <row r="7" spans="1:7" ht="12.75">
      <c r="A7" s="52" t="str">
        <f>+INPUT!B35</f>
        <v>GW CBCU Kansas</v>
      </c>
      <c r="B7" s="52">
        <f>+INPUT!C35</f>
        <v>2155</v>
      </c>
      <c r="C7">
        <v>-274</v>
      </c>
      <c r="D7">
        <v>-205</v>
      </c>
      <c r="E7">
        <v>-1462</v>
      </c>
      <c r="F7">
        <v>-1910</v>
      </c>
      <c r="G7">
        <v>-11</v>
      </c>
    </row>
    <row r="8" spans="1:7" ht="12" customHeight="1">
      <c r="A8" s="52" t="str">
        <f>+INPUT!B36</f>
        <v>GW CBCU Nebraska</v>
      </c>
      <c r="B8" s="52">
        <f>+INPUT!C36</f>
        <v>2991</v>
      </c>
      <c r="C8">
        <v>500</v>
      </c>
      <c r="D8">
        <v>556</v>
      </c>
      <c r="E8">
        <v>702</v>
      </c>
      <c r="F8">
        <v>1028</v>
      </c>
      <c r="G8">
        <v>1681</v>
      </c>
    </row>
    <row r="9" spans="1:2" ht="12.75">
      <c r="A9" s="2"/>
      <c r="B9" s="2"/>
    </row>
    <row r="10" spans="1:2" ht="12.75">
      <c r="A10" s="5" t="s">
        <v>174</v>
      </c>
      <c r="B10" s="2"/>
    </row>
    <row r="11" spans="1:7" ht="12.75">
      <c r="A11" s="52" t="str">
        <f>+INPUT!B193</f>
        <v>Sappa Creek Near Stamford</v>
      </c>
      <c r="B11" s="52">
        <f>+INPUT!C193</f>
        <v>7751</v>
      </c>
      <c r="C11">
        <v>179.11552</v>
      </c>
      <c r="D11">
        <v>84</v>
      </c>
      <c r="E11">
        <v>262</v>
      </c>
      <c r="F11">
        <v>0</v>
      </c>
      <c r="G11">
        <v>4451.06</v>
      </c>
    </row>
    <row r="12" spans="1:7" ht="12.75">
      <c r="A12" s="52" t="str">
        <f>+INPUT!B192</f>
        <v>Beaver Creek Near Beaver City</v>
      </c>
      <c r="B12" s="52">
        <f>+INPUT!C192</f>
        <v>1218</v>
      </c>
      <c r="C12">
        <v>220</v>
      </c>
      <c r="D12">
        <v>163</v>
      </c>
      <c r="E12">
        <v>173</v>
      </c>
      <c r="F12">
        <v>303</v>
      </c>
      <c r="G12">
        <v>1227</v>
      </c>
    </row>
    <row r="13" spans="1:7" ht="12.75">
      <c r="A13" s="104" t="str">
        <f>+INPUT!B122</f>
        <v>SW Diversions - Irrigation - Non-Federal Canals- Kansas</v>
      </c>
      <c r="B13" s="104">
        <f>+INPUT!C122</f>
        <v>0</v>
      </c>
      <c r="C13">
        <v>0</v>
      </c>
      <c r="D13">
        <v>0</v>
      </c>
      <c r="E13">
        <v>0</v>
      </c>
      <c r="F13">
        <v>0</v>
      </c>
      <c r="G13">
        <v>0</v>
      </c>
    </row>
    <row r="14" spans="1:7" ht="12.75">
      <c r="A14" s="104" t="str">
        <f>+INPUT!B123</f>
        <v>SW Diversions - Irrigation - Small Pumps - Kansas</v>
      </c>
      <c r="B14" s="104">
        <f>+INPUT!C123</f>
        <v>6</v>
      </c>
      <c r="C14">
        <v>14</v>
      </c>
      <c r="D14">
        <v>28</v>
      </c>
      <c r="E14">
        <v>3</v>
      </c>
      <c r="F14">
        <v>3</v>
      </c>
      <c r="G14">
        <v>6</v>
      </c>
    </row>
    <row r="15" spans="1:7" ht="12.75">
      <c r="A15" s="104" t="str">
        <f>+INPUT!B124</f>
        <v>SW Diversions - M&amp;I - Kansas</v>
      </c>
      <c r="B15" s="104">
        <f>+INPUT!C124</f>
        <v>0</v>
      </c>
      <c r="C15">
        <v>0</v>
      </c>
      <c r="D15">
        <v>0</v>
      </c>
      <c r="E15">
        <v>0</v>
      </c>
      <c r="F15">
        <v>0</v>
      </c>
      <c r="G15">
        <v>0</v>
      </c>
    </row>
    <row r="16" spans="1:7" ht="12.75">
      <c r="A16" s="104" t="str">
        <f>+INPUT!B125</f>
        <v>SW Diversions - Irrigation - Non-Federal Canals - Nebraska</v>
      </c>
      <c r="B16" s="104">
        <f>+INPUT!C125</f>
        <v>0</v>
      </c>
      <c r="C16">
        <v>0</v>
      </c>
      <c r="D16">
        <v>0</v>
      </c>
      <c r="E16">
        <v>0</v>
      </c>
      <c r="F16">
        <v>0</v>
      </c>
      <c r="G16">
        <v>0</v>
      </c>
    </row>
    <row r="17" spans="1:7" ht="12.75">
      <c r="A17" s="104" t="str">
        <f>+INPUT!B126</f>
        <v>SW Diversions - Irrigation - Small Pumps - Nebraska</v>
      </c>
      <c r="B17" s="104">
        <f>+INPUT!C126</f>
        <v>0</v>
      </c>
      <c r="C17">
        <v>0</v>
      </c>
      <c r="D17">
        <v>19.6</v>
      </c>
      <c r="E17">
        <v>53.6</v>
      </c>
      <c r="F17">
        <v>22</v>
      </c>
      <c r="G17">
        <v>189</v>
      </c>
    </row>
    <row r="18" spans="1:7" ht="12.75">
      <c r="A18" s="104" t="str">
        <f>+INPUT!B127</f>
        <v>SW Diversions - M&amp;I - Nebraska</v>
      </c>
      <c r="B18" s="104">
        <f>+INPUT!C127</f>
        <v>0</v>
      </c>
      <c r="C18">
        <v>0</v>
      </c>
      <c r="D18">
        <v>0</v>
      </c>
      <c r="E18">
        <v>0</v>
      </c>
      <c r="F18">
        <v>0</v>
      </c>
      <c r="G18">
        <v>0</v>
      </c>
    </row>
    <row r="19" spans="1:7" ht="12.75">
      <c r="A19" s="104" t="str">
        <f>+INPUT!B128</f>
        <v>SW Diversions - Irrigation - Non-Federal Canals - Nebraska -Below Gage</v>
      </c>
      <c r="B19" s="104">
        <f>+INPUT!C128</f>
        <v>0</v>
      </c>
      <c r="C19">
        <v>0</v>
      </c>
      <c r="D19">
        <v>0</v>
      </c>
      <c r="E19">
        <v>0</v>
      </c>
      <c r="F19">
        <v>0</v>
      </c>
      <c r="G19">
        <v>0</v>
      </c>
    </row>
    <row r="20" spans="1:7" ht="12.75">
      <c r="A20" s="104" t="str">
        <f>+INPUT!B129</f>
        <v>SW Diversions - Irrigation - Small Pumps -Nebraska - Below Gage</v>
      </c>
      <c r="B20" s="104">
        <f>+INPUT!C129</f>
        <v>0</v>
      </c>
      <c r="C20">
        <v>19.8</v>
      </c>
      <c r="D20">
        <v>0</v>
      </c>
      <c r="E20">
        <v>0</v>
      </c>
      <c r="F20">
        <v>0</v>
      </c>
      <c r="G20">
        <v>0</v>
      </c>
    </row>
    <row r="21" spans="1:7" ht="12.75">
      <c r="A21" s="104" t="str">
        <f>+INPUT!B130</f>
        <v>SW Diversions - M&amp;I - Nebraska - Below Gage</v>
      </c>
      <c r="B21" s="104">
        <f>+INPUT!C130</f>
        <v>0</v>
      </c>
      <c r="C21">
        <v>0</v>
      </c>
      <c r="D21">
        <v>0</v>
      </c>
      <c r="E21">
        <v>0</v>
      </c>
      <c r="F21">
        <v>0</v>
      </c>
      <c r="G21">
        <v>0</v>
      </c>
    </row>
    <row r="22" spans="1:7" ht="12.75">
      <c r="A22" s="104" t="str">
        <f>+INPUT!B173</f>
        <v>Non-Federal Reservoir Evaporation - Kansas</v>
      </c>
      <c r="B22" s="104">
        <f>+INPUT!C173</f>
        <v>279</v>
      </c>
      <c r="C22">
        <v>0</v>
      </c>
      <c r="D22">
        <v>278.3</v>
      </c>
      <c r="E22">
        <v>278.3</v>
      </c>
      <c r="F22">
        <v>482.68</v>
      </c>
      <c r="G22">
        <v>351</v>
      </c>
    </row>
    <row r="23" spans="1:7" ht="12.75">
      <c r="A23" s="104" t="str">
        <f>+INPUT!B174</f>
        <v>Non-Federal Reservoir Evaporation - Nebraska</v>
      </c>
      <c r="B23" s="104">
        <f>+INPUT!C174</f>
        <v>28</v>
      </c>
      <c r="C23">
        <v>0</v>
      </c>
      <c r="D23">
        <v>22.3</v>
      </c>
      <c r="E23">
        <v>42.8</v>
      </c>
      <c r="F23">
        <v>21.56</v>
      </c>
      <c r="G23">
        <v>32</v>
      </c>
    </row>
    <row r="24" spans="1:7" ht="12.75">
      <c r="A24" s="104" t="str">
        <f>+INPUT!B175</f>
        <v>Non-Federal Reservoir Evaporation - Nebraska - Below Gage</v>
      </c>
      <c r="B24" s="104">
        <f>+INPUT!C175</f>
        <v>2</v>
      </c>
      <c r="C24">
        <v>0</v>
      </c>
      <c r="D24">
        <v>7.3</v>
      </c>
      <c r="E24">
        <v>5.2</v>
      </c>
      <c r="F24">
        <v>1.01</v>
      </c>
      <c r="G24">
        <v>3</v>
      </c>
    </row>
    <row r="25" spans="1:7" ht="12.75">
      <c r="A25" s="104" t="str">
        <f>+INPUT!B209</f>
        <v>Sappa Flood Flow</v>
      </c>
      <c r="B25" s="104">
        <f>+INPUT!C209</f>
        <v>0</v>
      </c>
      <c r="C25">
        <v>0</v>
      </c>
      <c r="D25">
        <v>0</v>
      </c>
      <c r="E25">
        <v>0</v>
      </c>
      <c r="F25">
        <v>0</v>
      </c>
      <c r="G25">
        <v>0</v>
      </c>
    </row>
    <row r="26" spans="1:2" ht="12.75">
      <c r="A26" s="119" t="s">
        <v>78</v>
      </c>
      <c r="B26" s="16"/>
    </row>
    <row r="27" spans="1:2" ht="15.75">
      <c r="A27" s="10" t="s">
        <v>255</v>
      </c>
      <c r="B27" s="16"/>
    </row>
    <row r="28" spans="1:2" ht="12.75">
      <c r="A28" s="8" t="s">
        <v>0</v>
      </c>
      <c r="B28" s="16"/>
    </row>
    <row r="29" spans="1:7" ht="12.75">
      <c r="A29" s="16" t="str">
        <f>'NORTH FORK'!A28</f>
        <v>GW CBCU</v>
      </c>
      <c r="B29" s="16">
        <f>+B6</f>
        <v>0</v>
      </c>
      <c r="C29">
        <v>0</v>
      </c>
      <c r="D29">
        <v>0</v>
      </c>
      <c r="E29">
        <v>0</v>
      </c>
      <c r="F29">
        <v>0</v>
      </c>
      <c r="G29">
        <v>0</v>
      </c>
    </row>
    <row r="30" spans="1:7" ht="12.75">
      <c r="A30" s="16" t="str">
        <f>'NORTH FORK'!A29</f>
        <v>Total CBCU</v>
      </c>
      <c r="B30" s="73">
        <f>(ROUND(SUM(B29:B29),-1))</f>
        <v>0</v>
      </c>
      <c r="C30">
        <v>0</v>
      </c>
      <c r="D30">
        <v>0</v>
      </c>
      <c r="E30">
        <v>0</v>
      </c>
      <c r="F30">
        <v>0</v>
      </c>
      <c r="G30">
        <v>0</v>
      </c>
    </row>
    <row r="31" spans="1:2" ht="12.75">
      <c r="A31" s="16" t="s">
        <v>78</v>
      </c>
      <c r="B31" s="16"/>
    </row>
    <row r="32" spans="1:2" ht="12.75">
      <c r="A32" s="8" t="s">
        <v>175</v>
      </c>
      <c r="B32" s="16"/>
    </row>
    <row r="33" spans="1:7" ht="12.75">
      <c r="A33" s="12" t="str">
        <f>'NORTH FORK'!A23</f>
        <v>SW CBCU - Irrigation - Non Federal Canals</v>
      </c>
      <c r="B33" s="97">
        <f>+B13*CanalCUPercent</f>
        <v>0</v>
      </c>
      <c r="C33">
        <v>0</v>
      </c>
      <c r="D33">
        <v>0</v>
      </c>
      <c r="E33">
        <v>0</v>
      </c>
      <c r="F33">
        <v>0</v>
      </c>
      <c r="G33">
        <v>0</v>
      </c>
    </row>
    <row r="34" spans="1:7" ht="12.75">
      <c r="A34" s="12" t="str">
        <f>'NORTH FORK'!A24</f>
        <v>SW CBCU - Irrigation - Small Pumps</v>
      </c>
      <c r="B34" s="97">
        <f>+B14*PumperCUPercent</f>
        <v>4.5</v>
      </c>
      <c r="C34">
        <v>10.5</v>
      </c>
      <c r="D34">
        <v>21</v>
      </c>
      <c r="E34">
        <v>2.25</v>
      </c>
      <c r="F34">
        <v>2.25</v>
      </c>
      <c r="G34">
        <v>4.5</v>
      </c>
    </row>
    <row r="35" spans="1:7" ht="12.75">
      <c r="A35" s="12" t="str">
        <f>'NORTH FORK'!A25</f>
        <v>SW CBCU - M&amp;I</v>
      </c>
      <c r="B35" s="97">
        <f>+B15*MI_CUPercent</f>
        <v>0</v>
      </c>
      <c r="C35">
        <v>0</v>
      </c>
      <c r="D35">
        <v>0</v>
      </c>
      <c r="E35">
        <v>0</v>
      </c>
      <c r="F35">
        <v>0</v>
      </c>
      <c r="G35">
        <v>0</v>
      </c>
    </row>
    <row r="36" spans="1:7" ht="12.75">
      <c r="A36" s="12" t="str">
        <f>'NORTH FORK'!A26</f>
        <v>Non-Federal Reservoir Evaporation</v>
      </c>
      <c r="B36" s="16">
        <f>B22</f>
        <v>279</v>
      </c>
      <c r="C36">
        <v>0</v>
      </c>
      <c r="D36">
        <v>278.3</v>
      </c>
      <c r="E36">
        <v>278.3</v>
      </c>
      <c r="F36">
        <v>482.68</v>
      </c>
      <c r="G36">
        <v>351</v>
      </c>
    </row>
    <row r="37" spans="1:7" ht="12.75">
      <c r="A37" s="12" t="str">
        <f>'NORTH FORK'!A27</f>
        <v>SW CBCU</v>
      </c>
      <c r="B37" s="73">
        <f>B33+B34+B35+B36</f>
        <v>283.5</v>
      </c>
      <c r="C37">
        <v>10.5</v>
      </c>
      <c r="D37">
        <v>299.3</v>
      </c>
      <c r="E37">
        <v>280.55</v>
      </c>
      <c r="F37">
        <v>484.93</v>
      </c>
      <c r="G37">
        <v>355.5</v>
      </c>
    </row>
    <row r="38" spans="1:7" ht="12.75">
      <c r="A38" s="12" t="str">
        <f>'NORTH FORK'!A28</f>
        <v>GW CBCU</v>
      </c>
      <c r="B38" s="16">
        <f>+B7</f>
        <v>2155</v>
      </c>
      <c r="C38">
        <v>-274</v>
      </c>
      <c r="D38">
        <v>-205</v>
      </c>
      <c r="E38">
        <v>-1462</v>
      </c>
      <c r="F38">
        <v>-1910</v>
      </c>
      <c r="G38">
        <v>-11</v>
      </c>
    </row>
    <row r="39" spans="1:7" ht="12.75">
      <c r="A39" s="12" t="str">
        <f>'NORTH FORK'!A29</f>
        <v>Total CBCU</v>
      </c>
      <c r="B39" s="73">
        <f>(ROUND(SUM(B37:B38),-1))</f>
        <v>2440</v>
      </c>
      <c r="C39">
        <v>-260</v>
      </c>
      <c r="D39">
        <v>90</v>
      </c>
      <c r="E39">
        <v>-1180</v>
      </c>
      <c r="F39">
        <v>-1430</v>
      </c>
      <c r="G39">
        <v>340</v>
      </c>
    </row>
    <row r="40" spans="1:2" ht="12.75">
      <c r="A40" s="16" t="s">
        <v>78</v>
      </c>
      <c r="B40" s="16"/>
    </row>
    <row r="41" spans="1:2" ht="12.75">
      <c r="A41" s="8" t="s">
        <v>1</v>
      </c>
      <c r="B41" s="16"/>
    </row>
    <row r="42" spans="1:2" ht="12.75">
      <c r="A42" s="8"/>
      <c r="B42" s="16"/>
    </row>
    <row r="43" spans="1:7" ht="12.75">
      <c r="A43" s="16" t="str">
        <f>'MEDICINE CREEK'!A34</f>
        <v>SW CBCU - Irrigation - Non Federal Canals</v>
      </c>
      <c r="B43" s="73">
        <f>B16*CanalCUPercent</f>
        <v>0</v>
      </c>
      <c r="C43">
        <v>0</v>
      </c>
      <c r="D43">
        <v>0</v>
      </c>
      <c r="E43">
        <v>0</v>
      </c>
      <c r="F43">
        <v>0</v>
      </c>
      <c r="G43">
        <v>0</v>
      </c>
    </row>
    <row r="44" spans="1:7" ht="12.75">
      <c r="A44" s="16" t="str">
        <f>'MEDICINE CREEK'!A35</f>
        <v>SW CBCU - Irrigation - Small Pumps</v>
      </c>
      <c r="B44" s="73">
        <f>B17*PumperCUPercent</f>
        <v>0</v>
      </c>
      <c r="C44">
        <v>0</v>
      </c>
      <c r="D44">
        <v>14.7</v>
      </c>
      <c r="E44">
        <v>40.2</v>
      </c>
      <c r="F44">
        <v>16.5</v>
      </c>
      <c r="G44">
        <v>141.75</v>
      </c>
    </row>
    <row r="45" spans="1:7" ht="12.75">
      <c r="A45" s="16" t="str">
        <f>'MEDICINE CREEK'!A36</f>
        <v>SW CBCU - M&amp;I</v>
      </c>
      <c r="B45" s="73">
        <f>B18*MI_CUPercent</f>
        <v>0</v>
      </c>
      <c r="C45">
        <v>0</v>
      </c>
      <c r="D45">
        <v>0</v>
      </c>
      <c r="E45">
        <v>0</v>
      </c>
      <c r="F45">
        <v>0</v>
      </c>
      <c r="G45">
        <v>0</v>
      </c>
    </row>
    <row r="46" spans="1:7" ht="12.75">
      <c r="A46" s="16" t="str">
        <f>'MEDICINE CREEK'!A37</f>
        <v>SW CBCU - Irrigation - Non Federal Canals - Below Gage</v>
      </c>
      <c r="B46" s="120">
        <f>B19*CanalCUPercent</f>
        <v>0</v>
      </c>
      <c r="C46">
        <v>0</v>
      </c>
      <c r="D46">
        <v>0</v>
      </c>
      <c r="E46">
        <v>0</v>
      </c>
      <c r="F46">
        <v>0</v>
      </c>
      <c r="G46">
        <v>0</v>
      </c>
    </row>
    <row r="47" spans="1:7" ht="12.75">
      <c r="A47" s="16" t="str">
        <f>'MEDICINE CREEK'!A38</f>
        <v>SW CBCU - Irrigation - Small Pumps - Below Gage</v>
      </c>
      <c r="B47" s="120">
        <f>B20*PumperCUPercent</f>
        <v>0</v>
      </c>
      <c r="C47">
        <v>14.85</v>
      </c>
      <c r="D47">
        <v>0</v>
      </c>
      <c r="E47">
        <v>0</v>
      </c>
      <c r="F47">
        <v>0</v>
      </c>
      <c r="G47">
        <v>0</v>
      </c>
    </row>
    <row r="48" spans="1:7" ht="12.75">
      <c r="A48" s="16" t="str">
        <f>'MEDICINE CREEK'!A39</f>
        <v>SW CBCU - M&amp;I - Below Gage</v>
      </c>
      <c r="B48" s="120">
        <f>B21*MI_CUPercent</f>
        <v>0</v>
      </c>
      <c r="C48">
        <v>0</v>
      </c>
      <c r="D48">
        <v>0</v>
      </c>
      <c r="E48">
        <v>0</v>
      </c>
      <c r="F48">
        <v>0</v>
      </c>
      <c r="G48">
        <v>0</v>
      </c>
    </row>
    <row r="49" spans="1:7" ht="12.75">
      <c r="A49" s="97" t="str">
        <f>'MEDICINE CREEK'!A40</f>
        <v>Non-Federal Reservoir Evaporation</v>
      </c>
      <c r="B49" s="97">
        <f>B23</f>
        <v>28</v>
      </c>
      <c r="C49">
        <v>0</v>
      </c>
      <c r="D49">
        <v>22.3</v>
      </c>
      <c r="E49">
        <v>42.8</v>
      </c>
      <c r="F49">
        <v>21.56</v>
      </c>
      <c r="G49">
        <v>32</v>
      </c>
    </row>
    <row r="50" spans="1:7" ht="12.75">
      <c r="A50" s="97" t="str">
        <f>'MEDICINE CREEK'!A41</f>
        <v>Non-Federal Reservoir Evaporation - Below gage</v>
      </c>
      <c r="B50" s="97">
        <f>B24</f>
        <v>2</v>
      </c>
      <c r="C50">
        <v>0</v>
      </c>
      <c r="D50">
        <v>7.3</v>
      </c>
      <c r="E50">
        <v>5.2</v>
      </c>
      <c r="F50">
        <v>1.01</v>
      </c>
      <c r="G50">
        <v>3</v>
      </c>
    </row>
    <row r="51" spans="1:7" ht="12.75">
      <c r="A51" s="16" t="str">
        <f>'MEDICINE CREEK'!A42</f>
        <v>SW CBCU</v>
      </c>
      <c r="B51" s="120">
        <f>B43+B44+B45+B46+B47+B48+B49</f>
        <v>28</v>
      </c>
      <c r="C51">
        <v>14.85</v>
      </c>
      <c r="D51">
        <v>37</v>
      </c>
      <c r="E51">
        <v>83</v>
      </c>
      <c r="F51">
        <v>38.06</v>
      </c>
      <c r="G51">
        <v>173.75</v>
      </c>
    </row>
    <row r="52" spans="1:7" ht="12.75">
      <c r="A52" s="16" t="str">
        <f>'MEDICINE CREEK'!A43</f>
        <v>GW CBCU</v>
      </c>
      <c r="B52" s="120">
        <f>+B8</f>
        <v>2991</v>
      </c>
      <c r="C52">
        <v>500</v>
      </c>
      <c r="D52">
        <v>556</v>
      </c>
      <c r="E52">
        <v>702</v>
      </c>
      <c r="F52">
        <v>1028</v>
      </c>
      <c r="G52">
        <v>1681</v>
      </c>
    </row>
    <row r="53" spans="1:7" ht="12.75">
      <c r="A53" s="16" t="str">
        <f>'MEDICINE CREEK'!A44</f>
        <v>Total CBCU</v>
      </c>
      <c r="B53" s="73">
        <f>(ROUND(SUM(B51:B52),-1))</f>
        <v>3020</v>
      </c>
      <c r="C53">
        <v>510</v>
      </c>
      <c r="D53">
        <v>590</v>
      </c>
      <c r="E53">
        <v>790</v>
      </c>
      <c r="F53">
        <v>1070</v>
      </c>
      <c r="G53">
        <v>1850</v>
      </c>
    </row>
    <row r="54" spans="1:2" ht="12.75">
      <c r="A54" s="97" t="s">
        <v>78</v>
      </c>
      <c r="B54" s="16"/>
    </row>
    <row r="55" spans="1:2" ht="12.75">
      <c r="A55" s="49" t="s">
        <v>355</v>
      </c>
      <c r="B55" s="16"/>
    </row>
    <row r="56" spans="1:7" ht="12.75">
      <c r="A56" s="16" t="s">
        <v>241</v>
      </c>
      <c r="B56" s="73">
        <f>B46+B47+B48+B50</f>
        <v>2</v>
      </c>
      <c r="C56">
        <v>14.85</v>
      </c>
      <c r="D56">
        <v>7.3</v>
      </c>
      <c r="E56">
        <v>5.2</v>
      </c>
      <c r="F56">
        <v>1.01</v>
      </c>
      <c r="G56">
        <v>3</v>
      </c>
    </row>
    <row r="57" spans="1:7" ht="12.75">
      <c r="A57" s="97" t="str">
        <f>'MEDICINE CREEK'!A53</f>
        <v>Total</v>
      </c>
      <c r="B57" s="73">
        <f>B56</f>
        <v>2</v>
      </c>
      <c r="C57">
        <v>14.85</v>
      </c>
      <c r="D57">
        <v>7.3</v>
      </c>
      <c r="E57">
        <v>5.2</v>
      </c>
      <c r="F57">
        <v>1.01</v>
      </c>
      <c r="G57">
        <v>3</v>
      </c>
    </row>
    <row r="58" spans="1:2" ht="12.75">
      <c r="A58" s="97" t="s">
        <v>78</v>
      </c>
      <c r="B58" s="16"/>
    </row>
    <row r="59" spans="1:2" ht="12.75">
      <c r="A59" s="5" t="s">
        <v>176</v>
      </c>
      <c r="B59" s="16"/>
    </row>
    <row r="60" spans="1:7" ht="12.75">
      <c r="A60" s="97" t="str">
        <f>'NORTH FORK'!A42</f>
        <v>Total SW CBCU</v>
      </c>
      <c r="B60" s="73">
        <f>+B37+B51</f>
        <v>311.5</v>
      </c>
      <c r="C60">
        <v>25.35</v>
      </c>
      <c r="D60">
        <v>336.3</v>
      </c>
      <c r="E60">
        <v>363.55</v>
      </c>
      <c r="F60">
        <v>522.99</v>
      </c>
      <c r="G60">
        <v>529.25</v>
      </c>
    </row>
    <row r="61" spans="1:7" ht="12.75">
      <c r="A61" s="97" t="str">
        <f>'NORTH FORK'!A43</f>
        <v>Total GW CBCU</v>
      </c>
      <c r="B61" s="73">
        <f>B29+B38+B52</f>
        <v>5146</v>
      </c>
      <c r="C61">
        <v>226</v>
      </c>
      <c r="D61">
        <v>351</v>
      </c>
      <c r="E61">
        <v>-760</v>
      </c>
      <c r="F61">
        <v>0</v>
      </c>
      <c r="G61">
        <v>0</v>
      </c>
    </row>
    <row r="62" spans="1:7" ht="12.75">
      <c r="A62" s="97" t="str">
        <f>'NORTH FORK'!A44</f>
        <v>Total Basin CBCU</v>
      </c>
      <c r="B62" s="73">
        <f>SUM(B60:B61)</f>
        <v>5457.5</v>
      </c>
      <c r="C62">
        <v>251.35</v>
      </c>
      <c r="D62">
        <v>687.3</v>
      </c>
      <c r="E62">
        <v>-396.45</v>
      </c>
      <c r="F62">
        <v>522.99</v>
      </c>
      <c r="G62">
        <v>529.25</v>
      </c>
    </row>
    <row r="63" spans="1:7" ht="12.75">
      <c r="A63" s="97" t="s">
        <v>78</v>
      </c>
      <c r="B63" s="16"/>
      <c r="F63">
        <v>0</v>
      </c>
      <c r="G63">
        <v>0</v>
      </c>
    </row>
    <row r="64" spans="1:2" ht="15.75">
      <c r="A64" s="11" t="s">
        <v>10</v>
      </c>
      <c r="B64" s="16"/>
    </row>
    <row r="65" spans="1:7" ht="12.75">
      <c r="A65" s="73" t="str">
        <f>A11</f>
        <v>Sappa Creek Near Stamford</v>
      </c>
      <c r="B65" s="73">
        <f>B11</f>
        <v>7751</v>
      </c>
      <c r="C65">
        <v>179.11552</v>
      </c>
      <c r="D65">
        <v>84</v>
      </c>
      <c r="E65">
        <v>262</v>
      </c>
      <c r="F65">
        <v>0</v>
      </c>
      <c r="G65">
        <v>4451.06</v>
      </c>
    </row>
    <row r="66" spans="1:7" ht="12.75">
      <c r="A66" s="73" t="str">
        <f>A12</f>
        <v>Beaver Creek Near Beaver City</v>
      </c>
      <c r="B66" s="73">
        <f>B12</f>
        <v>1218</v>
      </c>
      <c r="C66">
        <v>220</v>
      </c>
      <c r="D66">
        <v>163</v>
      </c>
      <c r="E66">
        <v>173</v>
      </c>
      <c r="F66">
        <v>303</v>
      </c>
      <c r="G66">
        <v>1227</v>
      </c>
    </row>
    <row r="67" spans="1:7" ht="12.75">
      <c r="A67" s="16" t="str">
        <f>'NORTH FORK'!A49</f>
        <v>Colorado CBCU</v>
      </c>
      <c r="B67" s="73">
        <f>+B30</f>
        <v>0</v>
      </c>
      <c r="C67">
        <v>0</v>
      </c>
      <c r="D67">
        <v>0</v>
      </c>
      <c r="E67">
        <v>0</v>
      </c>
      <c r="F67">
        <v>0</v>
      </c>
      <c r="G67">
        <v>0</v>
      </c>
    </row>
    <row r="68" spans="1:7" ht="12.75">
      <c r="A68" s="16" t="str">
        <f>'NORTH FORK'!A50</f>
        <v>Kansas CBCU</v>
      </c>
      <c r="B68" s="73">
        <f>+B39</f>
        <v>2440</v>
      </c>
      <c r="C68">
        <v>-260</v>
      </c>
      <c r="D68">
        <v>90</v>
      </c>
      <c r="E68">
        <v>-1180</v>
      </c>
      <c r="F68">
        <v>-1430</v>
      </c>
      <c r="G68">
        <v>340</v>
      </c>
    </row>
    <row r="69" spans="1:7" ht="12.75">
      <c r="A69" s="16" t="str">
        <f>'NORTH FORK'!A51</f>
        <v>Nebraska CBCU</v>
      </c>
      <c r="B69" s="73">
        <f>B53</f>
        <v>3020</v>
      </c>
      <c r="C69">
        <v>510</v>
      </c>
      <c r="D69">
        <v>590</v>
      </c>
      <c r="E69">
        <v>790</v>
      </c>
      <c r="F69">
        <v>1070</v>
      </c>
      <c r="G69">
        <v>1850</v>
      </c>
    </row>
    <row r="70" spans="1:7" ht="12.75">
      <c r="A70" s="16" t="str">
        <f>A56</f>
        <v>SW CBCU Below The Gage</v>
      </c>
      <c r="B70" s="73">
        <f>B57</f>
        <v>2</v>
      </c>
      <c r="C70">
        <v>14.85</v>
      </c>
      <c r="D70">
        <v>7.3</v>
      </c>
      <c r="E70">
        <v>5.2</v>
      </c>
      <c r="F70">
        <v>1.01</v>
      </c>
      <c r="G70">
        <v>3</v>
      </c>
    </row>
    <row r="71" spans="1:7" ht="12.75">
      <c r="A71" s="16" t="str">
        <f>'NORTH FORK'!A52</f>
        <v>Imported Water</v>
      </c>
      <c r="B71" s="16">
        <f>+B5</f>
        <v>0</v>
      </c>
      <c r="C71">
        <v>0</v>
      </c>
      <c r="D71">
        <v>0</v>
      </c>
      <c r="E71">
        <v>0</v>
      </c>
      <c r="F71">
        <v>0</v>
      </c>
      <c r="G71">
        <v>0</v>
      </c>
    </row>
    <row r="72" spans="1:7" ht="12.75">
      <c r="A72" s="16" t="str">
        <f>'NORTH FORK'!A53</f>
        <v>Virgin Water Supply</v>
      </c>
      <c r="B72" s="120">
        <f>ROUND(B65-B66+B67+B68+B69-B70-B71,-1)</f>
        <v>11990</v>
      </c>
      <c r="C72">
        <v>190</v>
      </c>
      <c r="D72">
        <v>590</v>
      </c>
      <c r="E72">
        <v>-310</v>
      </c>
      <c r="F72">
        <v>-660</v>
      </c>
      <c r="G72">
        <v>5410</v>
      </c>
    </row>
    <row r="73" spans="1:7" ht="12.75">
      <c r="A73" s="16" t="str">
        <f>'NORTH FORK'!A54</f>
        <v>Adjustment For Flood Flows</v>
      </c>
      <c r="B73" s="16">
        <f>B25</f>
        <v>0</v>
      </c>
      <c r="C73">
        <v>0</v>
      </c>
      <c r="D73">
        <v>0</v>
      </c>
      <c r="E73">
        <v>0</v>
      </c>
      <c r="F73">
        <v>0</v>
      </c>
      <c r="G73">
        <v>0</v>
      </c>
    </row>
    <row r="74" spans="1:7" ht="12.75">
      <c r="A74" s="2" t="str">
        <f>'NORTH FORK'!A55</f>
        <v>Computed Water Supply</v>
      </c>
      <c r="B74" s="4">
        <f>+ROUND(B72-B73,-1)</f>
        <v>11990</v>
      </c>
      <c r="C74">
        <v>190</v>
      </c>
      <c r="D74">
        <v>590</v>
      </c>
      <c r="E74">
        <v>-310</v>
      </c>
      <c r="F74">
        <v>-660</v>
      </c>
      <c r="G74">
        <v>5410</v>
      </c>
    </row>
    <row r="75" spans="1:2" ht="12.75">
      <c r="A75" s="9" t="s">
        <v>78</v>
      </c>
      <c r="B75" s="2"/>
    </row>
    <row r="76" spans="1:2" ht="15.75">
      <c r="A76" s="11" t="s">
        <v>12</v>
      </c>
      <c r="B76" s="13"/>
    </row>
    <row r="77" spans="1:7" ht="12.75">
      <c r="A77" s="2" t="str">
        <f>'NORTH FORK'!A58</f>
        <v>Colorado Percent Of Allocation</v>
      </c>
      <c r="B77" s="72">
        <f>'T2'!$D13</f>
        <v>0</v>
      </c>
      <c r="C77">
        <v>0</v>
      </c>
      <c r="D77">
        <v>0</v>
      </c>
      <c r="E77">
        <v>0</v>
      </c>
      <c r="F77">
        <v>0</v>
      </c>
      <c r="G77">
        <v>0</v>
      </c>
    </row>
    <row r="78" spans="1:7" ht="12.75">
      <c r="A78" s="2" t="str">
        <f>'NORTH FORK'!A59</f>
        <v>Colorado Allocation</v>
      </c>
      <c r="B78" s="29">
        <f>ROUND(+B74*B77,-1)</f>
        <v>0</v>
      </c>
      <c r="C78">
        <v>0</v>
      </c>
      <c r="D78">
        <v>0</v>
      </c>
      <c r="E78">
        <v>0</v>
      </c>
      <c r="F78">
        <v>0</v>
      </c>
      <c r="G78">
        <v>0</v>
      </c>
    </row>
    <row r="79" spans="1:7" ht="12.75">
      <c r="A79" s="2" t="str">
        <f>'NORTH FORK'!A60</f>
        <v>Kansas Percent Of Allocation</v>
      </c>
      <c r="B79" s="72">
        <f>'T2'!$F13</f>
        <v>0.411</v>
      </c>
      <c r="C79">
        <v>0.411</v>
      </c>
      <c r="D79">
        <v>0.411</v>
      </c>
      <c r="E79">
        <v>0.411</v>
      </c>
      <c r="F79">
        <v>0.411</v>
      </c>
      <c r="G79">
        <v>0.411</v>
      </c>
    </row>
    <row r="80" spans="1:7" ht="12.75">
      <c r="A80" s="2" t="str">
        <f>'NORTH FORK'!A61</f>
        <v>Kansas Allocation</v>
      </c>
      <c r="B80" s="29">
        <f>ROUND(B74*B79,-1)</f>
        <v>4930</v>
      </c>
      <c r="C80">
        <v>80</v>
      </c>
      <c r="D80">
        <v>240</v>
      </c>
      <c r="E80">
        <v>-130</v>
      </c>
      <c r="F80">
        <v>-270</v>
      </c>
      <c r="G80">
        <v>2220</v>
      </c>
    </row>
    <row r="81" spans="1:7" ht="12.75">
      <c r="A81" s="2" t="str">
        <f>'NORTH FORK'!A62</f>
        <v>Nebraska Percent Of Allocation</v>
      </c>
      <c r="B81" s="72">
        <f>'T2'!$H13</f>
        <v>0.411</v>
      </c>
      <c r="C81">
        <v>0.411</v>
      </c>
      <c r="D81">
        <v>0.411</v>
      </c>
      <c r="E81">
        <v>0.411</v>
      </c>
      <c r="F81">
        <v>0.411</v>
      </c>
      <c r="G81">
        <v>0.411</v>
      </c>
    </row>
    <row r="82" spans="1:7" ht="12.75">
      <c r="A82" s="2" t="str">
        <f>'NORTH FORK'!A63</f>
        <v>Nebraska Allocation</v>
      </c>
      <c r="B82" s="29">
        <f>ROUND(B74*B81,-1)</f>
        <v>4930</v>
      </c>
      <c r="C82">
        <v>80</v>
      </c>
      <c r="D82">
        <v>240</v>
      </c>
      <c r="E82">
        <v>-130</v>
      </c>
      <c r="F82">
        <v>-270</v>
      </c>
      <c r="G82">
        <v>2220</v>
      </c>
    </row>
    <row r="83" spans="1:7" ht="12.75">
      <c r="A83" s="2" t="str">
        <f>'NORTH FORK'!A64</f>
        <v>Total Basin Allocation</v>
      </c>
      <c r="B83" s="29">
        <f>+B78+B80+B82</f>
        <v>9860</v>
      </c>
      <c r="C83">
        <v>160</v>
      </c>
      <c r="D83">
        <v>480</v>
      </c>
      <c r="E83">
        <v>-260</v>
      </c>
      <c r="F83">
        <v>-540</v>
      </c>
      <c r="G83">
        <v>4440</v>
      </c>
    </row>
    <row r="84" spans="1:7" ht="12.75">
      <c r="A84" s="2" t="str">
        <f>'NORTH FORK'!A65</f>
        <v>Percent Of Supply Not Allocated</v>
      </c>
      <c r="B84" s="72">
        <f>'T2'!$J13</f>
        <v>0.178</v>
      </c>
      <c r="C84">
        <v>0.178</v>
      </c>
      <c r="D84">
        <v>0.178</v>
      </c>
      <c r="E84">
        <v>0.178</v>
      </c>
      <c r="F84">
        <v>0.178</v>
      </c>
      <c r="G84">
        <v>0.178</v>
      </c>
    </row>
    <row r="85" spans="1:7" ht="12.75">
      <c r="A85" s="2" t="str">
        <f>'NORTH FORK'!A66</f>
        <v>Quantity Of Unallocated Supply</v>
      </c>
      <c r="B85" s="4">
        <f>+B74-B78-B80-B82</f>
        <v>2130</v>
      </c>
      <c r="C85">
        <v>30</v>
      </c>
      <c r="D85">
        <v>110</v>
      </c>
      <c r="E85">
        <v>-50</v>
      </c>
      <c r="F85">
        <v>-120</v>
      </c>
      <c r="G85">
        <v>970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5.xml><?xml version="1.0" encoding="utf-8"?>
<worksheet xmlns="http://schemas.openxmlformats.org/spreadsheetml/2006/main" xmlns:r="http://schemas.openxmlformats.org/officeDocument/2006/relationships">
  <sheetPr codeName="Sheet14"/>
  <dimension ref="A1:G83"/>
  <sheetViews>
    <sheetView zoomScalePageLayoutView="0" workbookViewId="0" topLeftCell="A44">
      <selection activeCell="B61" sqref="B61"/>
    </sheetView>
  </sheetViews>
  <sheetFormatPr defaultColWidth="9.140625" defaultRowHeight="12.75"/>
  <cols>
    <col min="1" max="1" width="74.7109375" style="0" customWidth="1"/>
    <col min="2" max="2" width="10.00390625" style="0" customWidth="1"/>
  </cols>
  <sheetData>
    <row r="1" spans="1:7" ht="15.75">
      <c r="A1" s="59" t="s">
        <v>214</v>
      </c>
      <c r="B1" s="5">
        <v>2008</v>
      </c>
      <c r="C1">
        <v>2003</v>
      </c>
      <c r="D1">
        <v>2004</v>
      </c>
      <c r="E1" s="275">
        <v>2005</v>
      </c>
      <c r="F1" s="275">
        <v>2006</v>
      </c>
      <c r="G1" s="275">
        <v>2007</v>
      </c>
    </row>
    <row r="2" ht="12.75"/>
    <row r="3" spans="1:2" ht="15.75">
      <c r="A3" s="10" t="s">
        <v>171</v>
      </c>
      <c r="B3" s="294"/>
    </row>
    <row r="4" spans="1:2" ht="12.75">
      <c r="A4" s="8" t="s">
        <v>172</v>
      </c>
      <c r="B4" s="295"/>
    </row>
    <row r="5" spans="1:7" ht="12.75">
      <c r="A5" s="52" t="str">
        <f>+INPUT!B57</f>
        <v>Imported Water Nebraska</v>
      </c>
      <c r="B5" s="52">
        <f>+INPUT!C57</f>
        <v>0</v>
      </c>
      <c r="C5">
        <v>0</v>
      </c>
      <c r="D5">
        <v>0</v>
      </c>
      <c r="E5">
        <v>0</v>
      </c>
      <c r="F5">
        <v>0</v>
      </c>
      <c r="G5">
        <v>0</v>
      </c>
    </row>
    <row r="6" spans="1:7" ht="12.75">
      <c r="A6" s="52" t="str">
        <f>+INPUT!B37</f>
        <v>GW CBCU Colorado</v>
      </c>
      <c r="B6" s="52">
        <f>+INPUT!C37</f>
        <v>0</v>
      </c>
      <c r="C6">
        <v>0</v>
      </c>
      <c r="D6">
        <v>0</v>
      </c>
      <c r="E6">
        <v>0</v>
      </c>
      <c r="F6">
        <v>0</v>
      </c>
      <c r="G6">
        <v>0</v>
      </c>
    </row>
    <row r="7" spans="1:7" ht="12.75">
      <c r="A7" s="52" t="str">
        <f>+INPUT!B38</f>
        <v>GW CBCU Kansas</v>
      </c>
      <c r="B7" s="52">
        <f>+INPUT!C38</f>
        <v>9639</v>
      </c>
      <c r="C7">
        <v>1679</v>
      </c>
      <c r="D7">
        <v>1824</v>
      </c>
      <c r="E7">
        <v>5775</v>
      </c>
      <c r="F7">
        <v>5510</v>
      </c>
      <c r="G7">
        <v>5800</v>
      </c>
    </row>
    <row r="8" spans="1:7" ht="12" customHeight="1">
      <c r="A8" s="52" t="str">
        <f>+INPUT!B39</f>
        <v>GW CBCU Nebraska</v>
      </c>
      <c r="B8" s="52">
        <f>+INPUT!C39</f>
        <v>25</v>
      </c>
      <c r="C8">
        <v>0</v>
      </c>
      <c r="D8">
        <v>0</v>
      </c>
      <c r="E8">
        <v>0</v>
      </c>
      <c r="F8">
        <v>0</v>
      </c>
      <c r="G8">
        <v>0</v>
      </c>
    </row>
    <row r="9" spans="1:2" ht="12.75">
      <c r="A9" s="2" t="s">
        <v>78</v>
      </c>
      <c r="B9" s="2"/>
    </row>
    <row r="10" spans="1:2" ht="12.75">
      <c r="A10" s="5" t="s">
        <v>206</v>
      </c>
      <c r="B10" s="2"/>
    </row>
    <row r="11" spans="1:7" ht="12.75">
      <c r="A11" s="57" t="str">
        <f>+INPUT!B246</f>
        <v>Almena Canal % Return Flow</v>
      </c>
      <c r="B11" s="57">
        <f>+INPUT!C246</f>
        <v>0.6058827244023454</v>
      </c>
      <c r="C11">
        <v>0.52</v>
      </c>
      <c r="D11">
        <v>1</v>
      </c>
      <c r="E11">
        <v>1</v>
      </c>
      <c r="F11">
        <v>1</v>
      </c>
      <c r="G11">
        <v>0.6095159235668789</v>
      </c>
    </row>
    <row r="12" spans="1:2" ht="12.75">
      <c r="A12" s="2" t="s">
        <v>78</v>
      </c>
      <c r="B12" s="2"/>
    </row>
    <row r="13" spans="1:2" ht="12.75">
      <c r="A13" s="5" t="s">
        <v>174</v>
      </c>
      <c r="B13" s="2"/>
    </row>
    <row r="14" spans="1:7" ht="12.75">
      <c r="A14" s="52" t="str">
        <f>+INPUT!B194</f>
        <v>Prairie Dog Creek Near Woodruff</v>
      </c>
      <c r="B14" s="52">
        <f>+INPUT!C194</f>
        <v>7506</v>
      </c>
      <c r="C14">
        <v>1087.4502400000001</v>
      </c>
      <c r="D14">
        <v>147</v>
      </c>
      <c r="E14">
        <v>3436</v>
      </c>
      <c r="F14">
        <v>153</v>
      </c>
      <c r="G14">
        <v>5458.3</v>
      </c>
    </row>
    <row r="15" spans="1:7" ht="12.75">
      <c r="A15" s="52" t="str">
        <f>+INPUT!B222</f>
        <v>Keith Sebelius Lake Evaporation</v>
      </c>
      <c r="B15" s="52">
        <f>+INPUT!C222</f>
        <v>1223.8670000000002</v>
      </c>
      <c r="C15">
        <v>2823</v>
      </c>
      <c r="D15">
        <v>2088.8</v>
      </c>
      <c r="E15">
        <v>1727.0067916666667</v>
      </c>
      <c r="F15">
        <v>1791.4270000000001</v>
      </c>
      <c r="G15">
        <v>2213.1</v>
      </c>
    </row>
    <row r="16" spans="1:7" ht="12.75">
      <c r="A16" s="52" t="str">
        <f>+INPUT!B223</f>
        <v>Keith Sebelius Lake Change In Storage</v>
      </c>
      <c r="B16" s="52">
        <f>+INPUT!C223</f>
        <v>6600.000000000002</v>
      </c>
      <c r="C16">
        <v>-4338</v>
      </c>
      <c r="D16">
        <v>-1000</v>
      </c>
      <c r="E16">
        <v>100.00000000000142</v>
      </c>
      <c r="F16">
        <v>-200.00000000000108</v>
      </c>
      <c r="G16">
        <v>1600</v>
      </c>
    </row>
    <row r="17" spans="1:7" ht="12.75">
      <c r="A17" s="124" t="str">
        <f>+INPUT!B245</f>
        <v>Almena Canal Diversions</v>
      </c>
      <c r="B17" s="124">
        <f>+INPUT!C245</f>
        <v>2217</v>
      </c>
      <c r="C17">
        <v>3379</v>
      </c>
      <c r="D17">
        <v>0</v>
      </c>
      <c r="E17">
        <v>0</v>
      </c>
      <c r="F17">
        <v>0</v>
      </c>
      <c r="G17">
        <v>1099</v>
      </c>
    </row>
    <row r="18" spans="1:7" ht="12.75">
      <c r="A18" s="124" t="str">
        <f>+INPUT!B131</f>
        <v>SW Diversions - Irrigation - Non-Federal Canals- Kansas</v>
      </c>
      <c r="B18" s="124">
        <f>+INPUT!C131</f>
        <v>0</v>
      </c>
      <c r="C18">
        <v>0</v>
      </c>
      <c r="D18">
        <v>0</v>
      </c>
      <c r="E18">
        <v>0</v>
      </c>
      <c r="F18">
        <v>0</v>
      </c>
      <c r="G18">
        <v>0</v>
      </c>
    </row>
    <row r="19" spans="1:7" ht="12.75">
      <c r="A19" s="124" t="str">
        <f>+INPUT!B132</f>
        <v>SW Diversions - Irrigation - Small Pumps - Kansas</v>
      </c>
      <c r="B19" s="124">
        <f>+INPUT!C132</f>
        <v>300</v>
      </c>
      <c r="C19">
        <v>273</v>
      </c>
      <c r="D19">
        <v>87</v>
      </c>
      <c r="E19">
        <v>159</v>
      </c>
      <c r="F19">
        <v>94.05</v>
      </c>
      <c r="G19">
        <v>165</v>
      </c>
    </row>
    <row r="20" spans="1:7" ht="12.75">
      <c r="A20" s="124" t="str">
        <f>+INPUT!B133</f>
        <v>SW Diversions - M&amp;I - Kansas</v>
      </c>
      <c r="B20" s="124">
        <f>+INPUT!C133</f>
        <v>203</v>
      </c>
      <c r="C20">
        <v>548</v>
      </c>
      <c r="D20">
        <v>496</v>
      </c>
      <c r="E20">
        <v>382</v>
      </c>
      <c r="F20">
        <v>419.8</v>
      </c>
      <c r="G20">
        <v>362</v>
      </c>
    </row>
    <row r="21" spans="1:7" ht="12.75">
      <c r="A21" s="124" t="str">
        <f>+INPUT!B134</f>
        <v>SW Diversions - Irrigation - Non-Federal Canals - Nebraska -Below Gage</v>
      </c>
      <c r="B21" s="124">
        <f>+INPUT!C134</f>
        <v>0</v>
      </c>
      <c r="C21">
        <v>0</v>
      </c>
      <c r="D21">
        <v>0</v>
      </c>
      <c r="E21">
        <v>0</v>
      </c>
      <c r="F21">
        <v>0</v>
      </c>
      <c r="G21">
        <v>0</v>
      </c>
    </row>
    <row r="22" spans="1:7" ht="12.75">
      <c r="A22" s="124" t="str">
        <f>+INPUT!B135</f>
        <v>SW Diversions - Irrigation - Small Pumps -Nebraska - Below Gage</v>
      </c>
      <c r="B22" s="124">
        <f>+INPUT!C135</f>
        <v>63</v>
      </c>
      <c r="C22">
        <v>59.2</v>
      </c>
      <c r="D22">
        <v>44.3</v>
      </c>
      <c r="E22">
        <v>21</v>
      </c>
      <c r="F22">
        <v>21</v>
      </c>
      <c r="G22">
        <v>43</v>
      </c>
    </row>
    <row r="23" spans="1:7" ht="12.75">
      <c r="A23" s="124" t="str">
        <f>+INPUT!B136</f>
        <v>SW Diversions - M&amp;I - Nebraska - Below Gage</v>
      </c>
      <c r="B23" s="124">
        <f>+INPUT!C136</f>
        <v>0</v>
      </c>
      <c r="C23">
        <v>0</v>
      </c>
      <c r="D23">
        <v>0</v>
      </c>
      <c r="E23">
        <v>0</v>
      </c>
      <c r="F23">
        <v>0</v>
      </c>
      <c r="G23">
        <v>0</v>
      </c>
    </row>
    <row r="24" spans="1:7" ht="12.75">
      <c r="A24" s="124" t="str">
        <f>+INPUT!B176</f>
        <v>Non-Federal Reservoir Evaporation - Kansas</v>
      </c>
      <c r="B24" s="124">
        <f>+INPUT!C176</f>
        <v>114</v>
      </c>
      <c r="C24">
        <v>0</v>
      </c>
      <c r="D24">
        <v>371.1</v>
      </c>
      <c r="E24">
        <v>371.1</v>
      </c>
      <c r="F24">
        <v>333.4</v>
      </c>
      <c r="G24">
        <v>260</v>
      </c>
    </row>
    <row r="25" spans="1:7" ht="12.75">
      <c r="A25" s="124" t="str">
        <f>+INPUT!B177</f>
        <v>Non-Federal Reservoir Evaporation - Nebraska</v>
      </c>
      <c r="B25" s="124">
        <f>+INPUT!C177</f>
        <v>39</v>
      </c>
      <c r="C25">
        <v>0</v>
      </c>
      <c r="D25">
        <v>17.4</v>
      </c>
      <c r="E25">
        <v>21.2</v>
      </c>
      <c r="F25">
        <v>10.88</v>
      </c>
      <c r="G25">
        <v>44</v>
      </c>
    </row>
    <row r="26" spans="1:7" ht="12.75">
      <c r="A26" s="124" t="str">
        <f>+INPUT!B210</f>
        <v>Prairie Dog Flood Flow</v>
      </c>
      <c r="B26" s="124">
        <f>+INPUT!C210</f>
        <v>0</v>
      </c>
      <c r="C26">
        <v>0</v>
      </c>
      <c r="D26">
        <v>0</v>
      </c>
      <c r="E26">
        <v>0</v>
      </c>
      <c r="F26">
        <v>0</v>
      </c>
      <c r="G26">
        <v>0</v>
      </c>
    </row>
    <row r="27" spans="1:2" ht="12.75">
      <c r="A27" s="125" t="s">
        <v>78</v>
      </c>
      <c r="B27" s="99"/>
    </row>
    <row r="28" spans="1:2" ht="15.75">
      <c r="A28" s="126" t="s">
        <v>255</v>
      </c>
      <c r="B28" s="114"/>
    </row>
    <row r="29" spans="1:2" ht="12.75">
      <c r="A29" s="107" t="s">
        <v>0</v>
      </c>
      <c r="B29" s="108"/>
    </row>
    <row r="30" spans="1:7" ht="12.75">
      <c r="A30" s="108" t="str">
        <f>'NORTH FORK'!A38</f>
        <v>GW CBCU</v>
      </c>
      <c r="B30" s="108">
        <f>+B6</f>
        <v>0</v>
      </c>
      <c r="C30">
        <v>0</v>
      </c>
      <c r="D30">
        <v>0</v>
      </c>
      <c r="E30">
        <v>0</v>
      </c>
      <c r="F30">
        <v>0</v>
      </c>
      <c r="G30">
        <v>0</v>
      </c>
    </row>
    <row r="31" spans="1:7" ht="12.75">
      <c r="A31" s="108" t="str">
        <f>'NORTH FORK'!A39</f>
        <v>Total CBCU</v>
      </c>
      <c r="B31" s="110">
        <f>(ROUND(SUM(B30:B30),-1))</f>
        <v>0</v>
      </c>
      <c r="C31">
        <v>0</v>
      </c>
      <c r="D31">
        <v>0</v>
      </c>
      <c r="E31">
        <v>0</v>
      </c>
      <c r="F31">
        <v>0</v>
      </c>
      <c r="G31">
        <v>0</v>
      </c>
    </row>
    <row r="32" spans="1:2" ht="12.75">
      <c r="A32" s="108" t="s">
        <v>78</v>
      </c>
      <c r="B32" s="108"/>
    </row>
    <row r="33" spans="1:2" ht="12.75">
      <c r="A33" s="107" t="s">
        <v>175</v>
      </c>
      <c r="B33" s="108"/>
    </row>
    <row r="34" spans="1:7" ht="12.75">
      <c r="A34" s="108" t="str">
        <f>(LEFT(A17,13))&amp;" "&amp;"CBCU"</f>
        <v>Almena Canal  CBCU</v>
      </c>
      <c r="B34" s="108">
        <f>+B17*(1-B11)</f>
        <v>873.7580000000004</v>
      </c>
      <c r="C34">
        <v>1621.92</v>
      </c>
      <c r="D34">
        <v>0</v>
      </c>
      <c r="E34">
        <v>0</v>
      </c>
      <c r="F34">
        <v>0</v>
      </c>
      <c r="G34">
        <v>429.1420000000001</v>
      </c>
    </row>
    <row r="35" spans="1:7" ht="12.75">
      <c r="A35" s="108" t="str">
        <f>'NORTH FORK'!A23</f>
        <v>SW CBCU - Irrigation - Non Federal Canals</v>
      </c>
      <c r="B35" s="108">
        <f>+B18*CanalCUPercent</f>
        <v>0</v>
      </c>
      <c r="C35">
        <v>0</v>
      </c>
      <c r="D35">
        <v>0</v>
      </c>
      <c r="E35">
        <v>0</v>
      </c>
      <c r="F35">
        <v>0</v>
      </c>
      <c r="G35">
        <v>0</v>
      </c>
    </row>
    <row r="36" spans="1:7" ht="12.75">
      <c r="A36" s="108" t="str">
        <f>'NORTH FORK'!A24</f>
        <v>SW CBCU - Irrigation - Small Pumps</v>
      </c>
      <c r="B36" s="108">
        <f>+B19*PumperCUPercent</f>
        <v>225</v>
      </c>
      <c r="C36">
        <v>204.75</v>
      </c>
      <c r="D36">
        <v>65.25</v>
      </c>
      <c r="E36">
        <v>119.25</v>
      </c>
      <c r="F36">
        <v>70.5375</v>
      </c>
      <c r="G36">
        <v>123.75</v>
      </c>
    </row>
    <row r="37" spans="1:7" ht="12.75">
      <c r="A37" s="108" t="str">
        <f>'NORTH FORK'!A25</f>
        <v>SW CBCU - M&amp;I</v>
      </c>
      <c r="B37" s="108">
        <f>+B20*MI_CUPercent</f>
        <v>101.5</v>
      </c>
      <c r="C37">
        <v>274</v>
      </c>
      <c r="D37">
        <v>248</v>
      </c>
      <c r="E37">
        <v>191</v>
      </c>
      <c r="F37">
        <v>209.9</v>
      </c>
      <c r="G37">
        <v>181</v>
      </c>
    </row>
    <row r="38" spans="1:7" ht="12.75">
      <c r="A38" s="108" t="str">
        <f>A15</f>
        <v>Keith Sebelius Lake Evaporation</v>
      </c>
      <c r="B38" s="127">
        <f>+B15</f>
        <v>1223.8670000000002</v>
      </c>
      <c r="C38">
        <v>2823</v>
      </c>
      <c r="D38">
        <v>2088.8</v>
      </c>
      <c r="E38">
        <v>1727.0067916666667</v>
      </c>
      <c r="F38">
        <v>1791.4270000000001</v>
      </c>
      <c r="G38">
        <v>2213.1</v>
      </c>
    </row>
    <row r="39" spans="1:7" ht="12.75">
      <c r="A39" s="111" t="str">
        <f>'NORTH FORK'!A26</f>
        <v>Non-Federal Reservoir Evaporation</v>
      </c>
      <c r="B39" s="111">
        <f>B24</f>
        <v>114</v>
      </c>
      <c r="C39">
        <v>0</v>
      </c>
      <c r="D39">
        <v>371.1</v>
      </c>
      <c r="E39">
        <v>371.1</v>
      </c>
      <c r="F39">
        <v>333.4</v>
      </c>
      <c r="G39">
        <v>260</v>
      </c>
    </row>
    <row r="40" spans="1:7" ht="12.75">
      <c r="A40" s="111" t="str">
        <f>'NORTH FORK'!A27</f>
        <v>SW CBCU</v>
      </c>
      <c r="B40" s="127">
        <f>B34+B35+B36+B37+B38+B39</f>
        <v>2538.1250000000005</v>
      </c>
      <c r="C40">
        <v>4923.67</v>
      </c>
      <c r="D40">
        <v>2773.15</v>
      </c>
      <c r="E40">
        <v>2408.3567916666666</v>
      </c>
      <c r="F40">
        <v>2405.2645</v>
      </c>
      <c r="G40">
        <v>3206.992</v>
      </c>
    </row>
    <row r="41" spans="1:7" ht="12.75">
      <c r="A41" s="111" t="str">
        <f>'NORTH FORK'!A28</f>
        <v>GW CBCU</v>
      </c>
      <c r="B41" s="110">
        <f>+B7</f>
        <v>9639</v>
      </c>
      <c r="C41">
        <v>1679</v>
      </c>
      <c r="D41">
        <v>1824</v>
      </c>
      <c r="E41">
        <v>5775</v>
      </c>
      <c r="F41">
        <v>5510</v>
      </c>
      <c r="G41">
        <v>5800</v>
      </c>
    </row>
    <row r="42" spans="1:7" ht="12.75">
      <c r="A42" s="111" t="str">
        <f>'NORTH FORK'!A29</f>
        <v>Total CBCU</v>
      </c>
      <c r="B42" s="110">
        <f>(ROUND(SUM(B40:B41),-1))</f>
        <v>12180</v>
      </c>
      <c r="C42">
        <v>6600</v>
      </c>
      <c r="D42">
        <v>4600</v>
      </c>
      <c r="E42">
        <v>8180</v>
      </c>
      <c r="F42">
        <v>7920</v>
      </c>
      <c r="G42">
        <v>9010</v>
      </c>
    </row>
    <row r="43" spans="1:2" ht="12.75">
      <c r="A43" s="108" t="s">
        <v>78</v>
      </c>
      <c r="B43" s="108"/>
    </row>
    <row r="44" spans="1:2" ht="12.75">
      <c r="A44" s="107" t="s">
        <v>1</v>
      </c>
      <c r="B44" s="108"/>
    </row>
    <row r="45" spans="1:7" ht="12.75">
      <c r="A45" s="111" t="s">
        <v>231</v>
      </c>
      <c r="B45" s="108">
        <f>B21*CanalCUPercent</f>
        <v>0</v>
      </c>
      <c r="C45">
        <v>0</v>
      </c>
      <c r="D45">
        <v>0</v>
      </c>
      <c r="E45">
        <v>0</v>
      </c>
      <c r="F45">
        <v>0</v>
      </c>
      <c r="G45">
        <v>0</v>
      </c>
    </row>
    <row r="46" spans="1:7" ht="12.75">
      <c r="A46" s="111" t="s">
        <v>444</v>
      </c>
      <c r="B46" s="108">
        <f>B22*PumperCUPercent</f>
        <v>47.25</v>
      </c>
      <c r="C46">
        <v>44.4</v>
      </c>
      <c r="D46">
        <v>33.225</v>
      </c>
      <c r="E46">
        <v>15.75</v>
      </c>
      <c r="F46">
        <v>15.75</v>
      </c>
      <c r="G46">
        <v>32.25</v>
      </c>
    </row>
    <row r="47" spans="1:7" ht="12.75">
      <c r="A47" s="111" t="s">
        <v>189</v>
      </c>
      <c r="B47" s="108">
        <f>B23*MI_CUPercent</f>
        <v>0</v>
      </c>
      <c r="C47">
        <v>0</v>
      </c>
      <c r="D47">
        <v>0</v>
      </c>
      <c r="E47">
        <v>0</v>
      </c>
      <c r="F47">
        <v>0</v>
      </c>
      <c r="G47">
        <v>0</v>
      </c>
    </row>
    <row r="48" spans="1:7" ht="12.75">
      <c r="A48" s="111" t="str">
        <f>'NORTH FORK'!A26</f>
        <v>Non-Federal Reservoir Evaporation</v>
      </c>
      <c r="B48" s="111">
        <f>B25</f>
        <v>39</v>
      </c>
      <c r="C48">
        <v>0</v>
      </c>
      <c r="D48">
        <v>17.4</v>
      </c>
      <c r="E48">
        <v>21.2</v>
      </c>
      <c r="F48">
        <v>10.88</v>
      </c>
      <c r="G48">
        <v>44</v>
      </c>
    </row>
    <row r="49" spans="1:7" ht="12.75">
      <c r="A49" s="111" t="str">
        <f>'NORTH FORK'!A27</f>
        <v>SW CBCU</v>
      </c>
      <c r="B49" s="127">
        <f>B45+B46+B47+B48</f>
        <v>86.25</v>
      </c>
      <c r="C49">
        <v>44.4</v>
      </c>
      <c r="D49">
        <v>50.625</v>
      </c>
      <c r="E49">
        <v>36.95</v>
      </c>
      <c r="F49">
        <v>26.63</v>
      </c>
      <c r="G49">
        <v>76.25</v>
      </c>
    </row>
    <row r="50" spans="1:7" ht="12.75">
      <c r="A50" s="111" t="str">
        <f>'NORTH FORK'!A28</f>
        <v>GW CBCU</v>
      </c>
      <c r="B50" s="111">
        <f>+B8</f>
        <v>25</v>
      </c>
      <c r="C50">
        <v>0</v>
      </c>
      <c r="D50">
        <v>0</v>
      </c>
      <c r="E50">
        <v>0</v>
      </c>
      <c r="F50">
        <v>0</v>
      </c>
      <c r="G50">
        <v>0</v>
      </c>
    </row>
    <row r="51" spans="1:7" ht="12.75">
      <c r="A51" s="111" t="str">
        <f>'NORTH FORK'!A29</f>
        <v>Total CBCU</v>
      </c>
      <c r="B51" s="110">
        <f>(ROUND(SUM(B49:B50),-1))</f>
        <v>110</v>
      </c>
      <c r="C51">
        <v>40</v>
      </c>
      <c r="D51">
        <v>50</v>
      </c>
      <c r="E51">
        <v>40</v>
      </c>
      <c r="F51">
        <v>30</v>
      </c>
      <c r="G51">
        <v>80</v>
      </c>
    </row>
    <row r="52" spans="1:2" ht="12.75">
      <c r="A52" s="111" t="s">
        <v>78</v>
      </c>
      <c r="B52" s="108"/>
    </row>
    <row r="53" spans="1:2" ht="12.75">
      <c r="A53" s="112" t="s">
        <v>355</v>
      </c>
      <c r="B53" s="108"/>
    </row>
    <row r="54" spans="1:7" ht="12.75">
      <c r="A54" s="108" t="s">
        <v>241</v>
      </c>
      <c r="B54" s="127">
        <f>B45+B46+B47+B48</f>
        <v>86.25</v>
      </c>
      <c r="C54">
        <v>44.4</v>
      </c>
      <c r="D54">
        <v>50.625</v>
      </c>
      <c r="E54">
        <v>36.95</v>
      </c>
      <c r="F54">
        <v>26.63</v>
      </c>
      <c r="G54">
        <v>76.25</v>
      </c>
    </row>
    <row r="55" spans="1:7" ht="12.75">
      <c r="A55" s="111" t="s">
        <v>215</v>
      </c>
      <c r="B55" s="110">
        <f>SUM(B54:B54)</f>
        <v>86.25</v>
      </c>
      <c r="C55">
        <v>44.4</v>
      </c>
      <c r="D55">
        <v>50.625</v>
      </c>
      <c r="E55">
        <v>36.95</v>
      </c>
      <c r="F55">
        <v>26.63</v>
      </c>
      <c r="G55">
        <v>76.25</v>
      </c>
    </row>
    <row r="56" spans="1:2" ht="12.75">
      <c r="A56" s="111" t="s">
        <v>78</v>
      </c>
      <c r="B56" s="108"/>
    </row>
    <row r="57" spans="1:2" ht="12.75">
      <c r="A57" s="112" t="s">
        <v>176</v>
      </c>
      <c r="B57" s="108"/>
    </row>
    <row r="58" spans="1:7" ht="12.75">
      <c r="A58" s="111" t="str">
        <f>'NORTH FORK'!A42</f>
        <v>Total SW CBCU</v>
      </c>
      <c r="B58" s="110">
        <f>+B40+B49</f>
        <v>2624.3750000000005</v>
      </c>
      <c r="C58">
        <v>4968.07</v>
      </c>
      <c r="D58">
        <v>2823.775</v>
      </c>
      <c r="E58">
        <v>2445.3067916666664</v>
      </c>
      <c r="F58">
        <v>2431.8945000000003</v>
      </c>
      <c r="G58">
        <v>3283.242</v>
      </c>
    </row>
    <row r="59" spans="1:7" ht="12.75">
      <c r="A59" s="111" t="str">
        <f>'NORTH FORK'!A43</f>
        <v>Total GW CBCU</v>
      </c>
      <c r="B59" s="127">
        <f>+B30+B41+B50</f>
        <v>9664</v>
      </c>
      <c r="C59">
        <v>1679</v>
      </c>
      <c r="D59">
        <v>1824</v>
      </c>
      <c r="E59">
        <v>5775</v>
      </c>
      <c r="F59">
        <v>5510</v>
      </c>
      <c r="G59">
        <v>5800</v>
      </c>
    </row>
    <row r="60" spans="1:7" ht="12.75">
      <c r="A60" s="111" t="str">
        <f>'NORTH FORK'!A44</f>
        <v>Total Basin CBCU</v>
      </c>
      <c r="B60" s="110">
        <f>SUM(B58:B59)</f>
        <v>12288.375</v>
      </c>
      <c r="C60">
        <v>6647.07</v>
      </c>
      <c r="D60">
        <v>4647.775</v>
      </c>
      <c r="E60">
        <v>8220.306791666666</v>
      </c>
      <c r="F60">
        <v>7941.8945</v>
      </c>
      <c r="G60">
        <v>9083.242</v>
      </c>
    </row>
    <row r="61" spans="1:7" ht="12.75">
      <c r="A61" s="111" t="s">
        <v>78</v>
      </c>
      <c r="B61" s="356">
        <f>'T2'!D5</f>
        <v>0</v>
      </c>
      <c r="F61">
        <v>0</v>
      </c>
      <c r="G61">
        <v>0</v>
      </c>
    </row>
    <row r="62" spans="1:2" ht="15.75">
      <c r="A62" s="113" t="s">
        <v>10</v>
      </c>
      <c r="B62" s="114"/>
    </row>
    <row r="63" spans="1:7" ht="12.75">
      <c r="A63" s="115" t="str">
        <f>A14</f>
        <v>Prairie Dog Creek Near Woodruff</v>
      </c>
      <c r="B63" s="115">
        <f>B14</f>
        <v>7506</v>
      </c>
      <c r="C63">
        <v>1087.4502400000001</v>
      </c>
      <c r="D63">
        <v>147</v>
      </c>
      <c r="E63">
        <v>3436</v>
      </c>
      <c r="F63">
        <v>153</v>
      </c>
      <c r="G63">
        <v>5458.3</v>
      </c>
    </row>
    <row r="64" spans="1:7" ht="12.75">
      <c r="A64" s="114" t="str">
        <f>'NORTH FORK'!A49</f>
        <v>Colorado CBCU</v>
      </c>
      <c r="B64" s="115">
        <f>+B31</f>
        <v>0</v>
      </c>
      <c r="C64">
        <v>0</v>
      </c>
      <c r="D64">
        <v>0</v>
      </c>
      <c r="E64">
        <v>0</v>
      </c>
      <c r="F64">
        <v>0</v>
      </c>
      <c r="G64">
        <v>0</v>
      </c>
    </row>
    <row r="65" spans="1:7" ht="12.75">
      <c r="A65" s="114" t="str">
        <f>'NORTH FORK'!A50</f>
        <v>Kansas CBCU</v>
      </c>
      <c r="B65" s="128">
        <f>+B42</f>
        <v>12180</v>
      </c>
      <c r="C65">
        <v>6600</v>
      </c>
      <c r="D65">
        <v>4600</v>
      </c>
      <c r="E65">
        <v>8180</v>
      </c>
      <c r="F65">
        <v>7920</v>
      </c>
      <c r="G65">
        <v>9010</v>
      </c>
    </row>
    <row r="66" spans="1:7" ht="12.75">
      <c r="A66" s="114" t="str">
        <f>'NORTH FORK'!A51</f>
        <v>Nebraska CBCU</v>
      </c>
      <c r="B66" s="129">
        <f>B51</f>
        <v>110</v>
      </c>
      <c r="C66">
        <v>40</v>
      </c>
      <c r="D66">
        <v>50</v>
      </c>
      <c r="E66">
        <v>40</v>
      </c>
      <c r="F66">
        <v>30</v>
      </c>
      <c r="G66">
        <v>80</v>
      </c>
    </row>
    <row r="67" spans="1:7" ht="12.75">
      <c r="A67" s="114" t="s">
        <v>241</v>
      </c>
      <c r="B67" s="129">
        <f>B54</f>
        <v>86.25</v>
      </c>
      <c r="C67">
        <v>44.4</v>
      </c>
      <c r="D67">
        <v>50.625</v>
      </c>
      <c r="E67">
        <v>36.95</v>
      </c>
      <c r="F67">
        <v>26.63</v>
      </c>
      <c r="G67">
        <v>76.25</v>
      </c>
    </row>
    <row r="68" spans="1:7" ht="12.75">
      <c r="A68" s="114" t="str">
        <f>A16</f>
        <v>Keith Sebelius Lake Change In Storage</v>
      </c>
      <c r="B68" s="116">
        <f>+B16</f>
        <v>6600.000000000002</v>
      </c>
      <c r="C68">
        <v>-4338</v>
      </c>
      <c r="D68">
        <v>-1000</v>
      </c>
      <c r="E68">
        <v>100.00000000000142</v>
      </c>
      <c r="F68">
        <v>-200.00000000000108</v>
      </c>
      <c r="G68">
        <v>1600</v>
      </c>
    </row>
    <row r="69" spans="1:7" ht="12.75">
      <c r="A69" s="114" t="str">
        <f>'NORTH FORK'!A52</f>
        <v>Imported Water</v>
      </c>
      <c r="B69" s="116">
        <f>+B5</f>
        <v>0</v>
      </c>
      <c r="C69">
        <v>0</v>
      </c>
      <c r="D69">
        <v>0</v>
      </c>
      <c r="E69">
        <v>0</v>
      </c>
      <c r="F69">
        <v>0</v>
      </c>
      <c r="G69">
        <v>0</v>
      </c>
    </row>
    <row r="70" spans="1:7" ht="12.75">
      <c r="A70" s="114" t="str">
        <f>'NORTH FORK'!A53</f>
        <v>Virgin Water Supply</v>
      </c>
      <c r="B70" s="129">
        <f>ROUND(SUM(B63:B66)+B68-B69-B67,-1)</f>
        <v>26310</v>
      </c>
      <c r="C70">
        <v>3350</v>
      </c>
      <c r="D70">
        <v>3750</v>
      </c>
      <c r="E70">
        <v>11720</v>
      </c>
      <c r="F70">
        <v>7880</v>
      </c>
      <c r="G70">
        <v>16070</v>
      </c>
    </row>
    <row r="71" spans="1:7" ht="12.75">
      <c r="A71" s="114" t="str">
        <f>'NORTH FORK'!A54</f>
        <v>Adjustment For Flood Flows</v>
      </c>
      <c r="B71" s="116">
        <f>B26</f>
        <v>0</v>
      </c>
      <c r="C71">
        <v>0</v>
      </c>
      <c r="D71">
        <v>0</v>
      </c>
      <c r="E71">
        <v>0</v>
      </c>
      <c r="F71">
        <v>0</v>
      </c>
      <c r="G71">
        <v>0</v>
      </c>
    </row>
    <row r="72" spans="1:7" ht="12.75">
      <c r="A72" s="114" t="str">
        <f>'NORTH FORK'!A55</f>
        <v>Computed Water Supply</v>
      </c>
      <c r="B72" s="129">
        <f>ROUND(+B70-B71-B68,-1)</f>
        <v>19710</v>
      </c>
      <c r="C72">
        <v>7690</v>
      </c>
      <c r="D72">
        <v>4750</v>
      </c>
      <c r="E72">
        <v>11620</v>
      </c>
      <c r="F72">
        <v>8080</v>
      </c>
      <c r="G72">
        <v>14470</v>
      </c>
    </row>
    <row r="73" spans="1:2" ht="12.75">
      <c r="A73" s="116" t="s">
        <v>78</v>
      </c>
      <c r="B73" s="116"/>
    </row>
    <row r="74" spans="1:2" ht="15.75">
      <c r="A74" s="113" t="s">
        <v>12</v>
      </c>
      <c r="B74" s="130"/>
    </row>
    <row r="75" spans="1:7" ht="12.75">
      <c r="A75" s="108" t="str">
        <f>'NORTH FORK'!A58</f>
        <v>Colorado Percent Of Allocation</v>
      </c>
      <c r="B75" s="131">
        <f>'T2'!$D14</f>
        <v>0</v>
      </c>
      <c r="C75">
        <v>0</v>
      </c>
      <c r="D75">
        <v>0</v>
      </c>
      <c r="E75">
        <v>0</v>
      </c>
      <c r="F75">
        <v>0</v>
      </c>
      <c r="G75">
        <v>0</v>
      </c>
    </row>
    <row r="76" spans="1:7" ht="12.75">
      <c r="A76" s="108" t="str">
        <f>'NORTH FORK'!A59</f>
        <v>Colorado Allocation</v>
      </c>
      <c r="B76" s="127">
        <f>ROUND(+B72*B75,-1)</f>
        <v>0</v>
      </c>
      <c r="C76">
        <v>0</v>
      </c>
      <c r="D76">
        <v>0</v>
      </c>
      <c r="E76">
        <v>0</v>
      </c>
      <c r="F76">
        <v>0</v>
      </c>
      <c r="G76">
        <v>0</v>
      </c>
    </row>
    <row r="77" spans="1:7" ht="12.75">
      <c r="A77" s="108" t="str">
        <f>'NORTH FORK'!A60</f>
        <v>Kansas Percent Of Allocation</v>
      </c>
      <c r="B77" s="131">
        <f>'T2'!$F14</f>
        <v>0.457</v>
      </c>
      <c r="C77">
        <v>0.457</v>
      </c>
      <c r="D77">
        <v>0.457</v>
      </c>
      <c r="E77">
        <v>0.457</v>
      </c>
      <c r="F77">
        <v>0.457</v>
      </c>
      <c r="G77">
        <v>0.457</v>
      </c>
    </row>
    <row r="78" spans="1:7" ht="12.75">
      <c r="A78" s="108" t="str">
        <f>'NORTH FORK'!A61</f>
        <v>Kansas Allocation</v>
      </c>
      <c r="B78" s="127">
        <f>ROUND(B72*B77,-1)</f>
        <v>9010</v>
      </c>
      <c r="C78">
        <v>3510</v>
      </c>
      <c r="D78">
        <v>2170</v>
      </c>
      <c r="E78">
        <v>5310</v>
      </c>
      <c r="F78">
        <v>3690</v>
      </c>
      <c r="G78">
        <v>6610</v>
      </c>
    </row>
    <row r="79" spans="1:7" ht="12.75">
      <c r="A79" s="108" t="str">
        <f>'NORTH FORK'!A62</f>
        <v>Nebraska Percent Of Allocation</v>
      </c>
      <c r="B79" s="131">
        <f>'T2'!$H14</f>
        <v>0.076</v>
      </c>
      <c r="C79">
        <v>0.076</v>
      </c>
      <c r="D79">
        <v>0.076</v>
      </c>
      <c r="E79">
        <v>0.076</v>
      </c>
      <c r="F79">
        <v>0.076</v>
      </c>
      <c r="G79">
        <v>0.076</v>
      </c>
    </row>
    <row r="80" spans="1:7" ht="12.75">
      <c r="A80" s="2" t="str">
        <f>'NORTH FORK'!A63</f>
        <v>Nebraska Allocation</v>
      </c>
      <c r="B80" s="29">
        <f>ROUND(B72*B79,-1)</f>
        <v>1500</v>
      </c>
      <c r="C80">
        <v>580</v>
      </c>
      <c r="D80">
        <v>360</v>
      </c>
      <c r="E80">
        <v>880</v>
      </c>
      <c r="F80">
        <v>610</v>
      </c>
      <c r="G80">
        <v>1100</v>
      </c>
    </row>
    <row r="81" spans="1:7" ht="12.75">
      <c r="A81" s="2" t="str">
        <f>'NORTH FORK'!A64</f>
        <v>Total Basin Allocation</v>
      </c>
      <c r="B81" s="29">
        <f>+B76+B78+B80</f>
        <v>10510</v>
      </c>
      <c r="C81">
        <v>4090</v>
      </c>
      <c r="D81">
        <v>2530</v>
      </c>
      <c r="E81">
        <v>6190</v>
      </c>
      <c r="F81">
        <v>4300</v>
      </c>
      <c r="G81">
        <v>7710</v>
      </c>
    </row>
    <row r="82" spans="1:7" ht="12.75">
      <c r="A82" s="2" t="str">
        <f>'NORTH FORK'!A65</f>
        <v>Percent Of Supply Not Allocated</v>
      </c>
      <c r="B82" s="72">
        <f>'T2'!$J14</f>
        <v>0.467</v>
      </c>
      <c r="C82">
        <v>0.467</v>
      </c>
      <c r="D82">
        <v>0.467</v>
      </c>
      <c r="E82">
        <v>0.467</v>
      </c>
      <c r="F82">
        <v>0.467</v>
      </c>
      <c r="G82">
        <v>0.467</v>
      </c>
    </row>
    <row r="83" spans="1:7" ht="12.75">
      <c r="A83" s="2" t="str">
        <f>'NORTH FORK'!A66</f>
        <v>Quantity Of Unallocated Supply</v>
      </c>
      <c r="B83" s="29">
        <f>+B72-B76-B78-B80</f>
        <v>9200</v>
      </c>
      <c r="C83">
        <v>3600</v>
      </c>
      <c r="D83">
        <v>2220</v>
      </c>
      <c r="E83">
        <v>5430</v>
      </c>
      <c r="F83">
        <v>3780</v>
      </c>
      <c r="G83">
        <v>6760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6.xml><?xml version="1.0" encoding="utf-8"?>
<worksheet xmlns="http://schemas.openxmlformats.org/spreadsheetml/2006/main" xmlns:r="http://schemas.openxmlformats.org/officeDocument/2006/relationships">
  <sheetPr codeName="Sheet15">
    <pageSetUpPr fitToPage="1"/>
  </sheetPr>
  <dimension ref="A1:G198"/>
  <sheetViews>
    <sheetView zoomScalePageLayoutView="0" workbookViewId="0" topLeftCell="A1">
      <pane xSplit="1" ySplit="1" topLeftCell="B85" activePane="bottomRight" state="frozen"/>
      <selection pane="topLeft" activeCell="A1" sqref="A1"/>
      <selection pane="topRight" activeCell="B1" sqref="B1"/>
      <selection pane="bottomLeft" activeCell="A2" sqref="A2"/>
      <selection pane="bottomRight" activeCell="B94" sqref="B94"/>
    </sheetView>
  </sheetViews>
  <sheetFormatPr defaultColWidth="9.140625" defaultRowHeight="12.75"/>
  <cols>
    <col min="1" max="1" width="47.28125" style="0" customWidth="1"/>
    <col min="2" max="2" width="17.28125" style="0" bestFit="1" customWidth="1"/>
  </cols>
  <sheetData>
    <row r="1" spans="1:7" ht="15.75">
      <c r="A1" s="59" t="s">
        <v>192</v>
      </c>
      <c r="B1" s="5">
        <v>2008</v>
      </c>
      <c r="C1">
        <v>2003</v>
      </c>
      <c r="D1">
        <v>2004</v>
      </c>
      <c r="E1" s="275">
        <v>2005</v>
      </c>
      <c r="F1" s="275">
        <v>2006</v>
      </c>
      <c r="G1" s="275">
        <v>2007</v>
      </c>
    </row>
    <row r="2" ht="12.75"/>
    <row r="3" spans="1:2" ht="15.75">
      <c r="A3" s="10" t="s">
        <v>171</v>
      </c>
      <c r="B3" s="294"/>
    </row>
    <row r="4" spans="1:2" ht="12.75">
      <c r="A4" s="8" t="s">
        <v>172</v>
      </c>
      <c r="B4" s="295"/>
    </row>
    <row r="5" spans="1:7" ht="12.75">
      <c r="A5" s="58" t="str">
        <f>+INPUT!B58</f>
        <v>Imported Water Nebraska Above Guide Rock</v>
      </c>
      <c r="B5" s="58">
        <f>+INPUT!C58</f>
        <v>15402</v>
      </c>
      <c r="C5">
        <v>337</v>
      </c>
      <c r="D5">
        <v>834</v>
      </c>
      <c r="E5">
        <v>2297</v>
      </c>
      <c r="F5">
        <v>2791</v>
      </c>
      <c r="G5" s="303">
        <v>11336</v>
      </c>
    </row>
    <row r="6" spans="1:7" ht="12.75">
      <c r="A6" s="58" t="str">
        <f>+INPUT!B40</f>
        <v>GW CBCU Colorado</v>
      </c>
      <c r="B6" s="58">
        <f>+INPUT!C40</f>
        <v>-2179</v>
      </c>
      <c r="C6">
        <v>132</v>
      </c>
      <c r="D6">
        <v>-1269</v>
      </c>
      <c r="E6">
        <v>-1954</v>
      </c>
      <c r="F6">
        <v>-3009</v>
      </c>
      <c r="G6" s="303">
        <v>-2033</v>
      </c>
    </row>
    <row r="7" spans="1:7" ht="12.75">
      <c r="A7" s="58" t="str">
        <f>+INPUT!B41</f>
        <v>GW CBCU Kansas</v>
      </c>
      <c r="B7" s="58">
        <f>+INPUT!C41</f>
        <v>389</v>
      </c>
      <c r="C7">
        <v>110</v>
      </c>
      <c r="D7">
        <v>399</v>
      </c>
      <c r="E7">
        <v>271</v>
      </c>
      <c r="F7">
        <v>205</v>
      </c>
      <c r="G7" s="303">
        <v>495</v>
      </c>
    </row>
    <row r="8" spans="1:7" ht="12.75">
      <c r="A8" s="58" t="str">
        <f>+INPUT!B42</f>
        <v>GW CBCU Nebraska Above Guide Rock</v>
      </c>
      <c r="B8" s="58">
        <f>+INPUT!C42</f>
        <v>81392</v>
      </c>
      <c r="C8">
        <v>74323</v>
      </c>
      <c r="D8">
        <v>78183</v>
      </c>
      <c r="E8">
        <v>81100</v>
      </c>
      <c r="F8">
        <v>74355</v>
      </c>
      <c r="G8" s="303">
        <v>86542</v>
      </c>
    </row>
    <row r="9" spans="1:7" ht="12.75">
      <c r="A9" s="58" t="str">
        <f>+INPUT!B43</f>
        <v>GW CBCU Nebraska Below Guide Rock</v>
      </c>
      <c r="B9" s="58">
        <f>+INPUT!C43</f>
        <v>1815</v>
      </c>
      <c r="C9">
        <v>2559</v>
      </c>
      <c r="D9">
        <v>2382</v>
      </c>
      <c r="E9">
        <v>2956</v>
      </c>
      <c r="F9">
        <v>2419</v>
      </c>
      <c r="G9" s="303">
        <v>2338</v>
      </c>
    </row>
    <row r="10" spans="1:7" ht="12" customHeight="1">
      <c r="A10" s="52" t="s">
        <v>211</v>
      </c>
      <c r="B10" s="58">
        <f>+B8+B9</f>
        <v>83207</v>
      </c>
      <c r="C10">
        <v>76882</v>
      </c>
      <c r="D10">
        <v>80565</v>
      </c>
      <c r="E10">
        <v>84056</v>
      </c>
      <c r="F10">
        <v>76774</v>
      </c>
      <c r="G10" s="303">
        <v>88880</v>
      </c>
    </row>
    <row r="11" spans="1:7" ht="12" customHeight="1">
      <c r="A11" s="9"/>
      <c r="B11" s="29"/>
      <c r="G11" s="303"/>
    </row>
    <row r="12" spans="1:7" ht="12" customHeight="1">
      <c r="A12" s="5" t="s">
        <v>206</v>
      </c>
      <c r="B12" s="29"/>
      <c r="G12" s="303"/>
    </row>
    <row r="13" spans="1:7" ht="12" customHeight="1">
      <c r="A13" s="57" t="str">
        <f>+INPUT!B242</f>
        <v>Meeker-Driftwood Canal % Return Flow</v>
      </c>
      <c r="B13" s="57">
        <f>+INPUT!C242</f>
        <v>1</v>
      </c>
      <c r="C13">
        <v>1</v>
      </c>
      <c r="D13">
        <v>1</v>
      </c>
      <c r="E13">
        <v>1</v>
      </c>
      <c r="F13">
        <v>1</v>
      </c>
      <c r="G13" s="303">
        <v>1</v>
      </c>
    </row>
    <row r="14" spans="1:7" ht="12" customHeight="1">
      <c r="A14" s="52" t="str">
        <f>+INPUT!B239</f>
        <v>Culbertson Canal % Return Flow</v>
      </c>
      <c r="B14" s="156">
        <f>+INPUT!C239</f>
        <v>1</v>
      </c>
      <c r="C14">
        <v>0.56</v>
      </c>
      <c r="D14">
        <v>0.658467373760664</v>
      </c>
      <c r="E14">
        <v>0.7808994209082596</v>
      </c>
      <c r="F14">
        <v>1</v>
      </c>
      <c r="G14" s="303">
        <v>1</v>
      </c>
    </row>
    <row r="15" spans="1:7" ht="12" customHeight="1">
      <c r="A15" s="52" t="str">
        <f>+INPUT!B240</f>
        <v>Culbertson Canal Extension % Return Flow</v>
      </c>
      <c r="B15" s="156">
        <f>+INPUT!C240</f>
        <v>1</v>
      </c>
      <c r="C15">
        <v>1</v>
      </c>
      <c r="D15">
        <v>1</v>
      </c>
      <c r="E15">
        <v>1</v>
      </c>
      <c r="F15">
        <v>1</v>
      </c>
      <c r="G15" s="303">
        <v>1</v>
      </c>
    </row>
    <row r="16" spans="1:7" ht="12" customHeight="1">
      <c r="A16" s="57" t="str">
        <f>+INPUT!B244</f>
        <v>Red Willow Canal % Return Flow</v>
      </c>
      <c r="B16" s="57">
        <f>+INPUT!C244</f>
        <v>0.6494424064563462</v>
      </c>
      <c r="C16">
        <v>1</v>
      </c>
      <c r="D16">
        <v>1</v>
      </c>
      <c r="E16">
        <v>1</v>
      </c>
      <c r="F16">
        <v>1</v>
      </c>
      <c r="G16" s="303">
        <v>1</v>
      </c>
    </row>
    <row r="17" spans="1:7" ht="12" customHeight="1">
      <c r="A17" s="57" t="str">
        <f>+INPUT!B248</f>
        <v>Bartley Canal % Return Flow</v>
      </c>
      <c r="B17" s="57">
        <f>+INPUT!C248</f>
        <v>1</v>
      </c>
      <c r="C17">
        <v>1</v>
      </c>
      <c r="D17">
        <v>1</v>
      </c>
      <c r="E17">
        <v>1</v>
      </c>
      <c r="F17">
        <v>0.5620445969125214</v>
      </c>
      <c r="G17" s="303">
        <v>1</v>
      </c>
    </row>
    <row r="18" spans="1:7" ht="12" customHeight="1">
      <c r="A18" s="57" t="str">
        <f>+INPUT!B250</f>
        <v>Cambridge Canal % Return Flow</v>
      </c>
      <c r="B18" s="57">
        <f>+INPUT!C250</f>
        <v>0.5606681797080517</v>
      </c>
      <c r="C18">
        <v>0.51</v>
      </c>
      <c r="D18">
        <v>0.5245849572026954</v>
      </c>
      <c r="E18">
        <v>0.5361416987634299</v>
      </c>
      <c r="F18">
        <v>0.5524714604915701</v>
      </c>
      <c r="G18" s="303">
        <v>1</v>
      </c>
    </row>
    <row r="19" spans="1:7" ht="12" customHeight="1">
      <c r="A19" s="134" t="str">
        <f>+INPUT!B252</f>
        <v>Naponee Canal % Return Flow</v>
      </c>
      <c r="B19" s="134">
        <f>+INPUT!C252</f>
        <v>0.5518132911392405</v>
      </c>
      <c r="C19">
        <v>0.53</v>
      </c>
      <c r="D19">
        <v>1</v>
      </c>
      <c r="E19">
        <v>1</v>
      </c>
      <c r="F19">
        <v>1</v>
      </c>
      <c r="G19" s="303">
        <v>1</v>
      </c>
    </row>
    <row r="20" spans="1:7" ht="12" customHeight="1">
      <c r="A20" s="134" t="str">
        <f>+INPUT!B254</f>
        <v>Franklin Canal % Return Flow</v>
      </c>
      <c r="B20" s="134">
        <f>+INPUT!C254</f>
        <v>0.709025986944358</v>
      </c>
      <c r="C20">
        <v>0.64</v>
      </c>
      <c r="D20">
        <v>1</v>
      </c>
      <c r="E20">
        <v>1</v>
      </c>
      <c r="F20">
        <v>1</v>
      </c>
      <c r="G20" s="303">
        <v>1</v>
      </c>
    </row>
    <row r="21" spans="1:7" ht="12" customHeight="1">
      <c r="A21" s="134" t="str">
        <f>+INPUT!B256</f>
        <v>Franklin Pump Canal % Return Flow</v>
      </c>
      <c r="B21" s="134">
        <f>+INPUT!C256</f>
        <v>0.6793472222222222</v>
      </c>
      <c r="C21">
        <v>0.57</v>
      </c>
      <c r="D21">
        <v>1</v>
      </c>
      <c r="E21">
        <v>1</v>
      </c>
      <c r="F21">
        <v>1</v>
      </c>
      <c r="G21" s="303">
        <v>1</v>
      </c>
    </row>
    <row r="22" spans="1:7" ht="12" customHeight="1">
      <c r="A22" s="134" t="str">
        <f>+INPUT!B258</f>
        <v>Superior Canal % Return Flow</v>
      </c>
      <c r="B22" s="134">
        <f>+INPUT!C258</f>
        <v>0.7141496646664314</v>
      </c>
      <c r="C22">
        <v>0.57</v>
      </c>
      <c r="D22">
        <v>0.6778671379310345</v>
      </c>
      <c r="E22">
        <v>0.6419266977928691</v>
      </c>
      <c r="F22">
        <v>1</v>
      </c>
      <c r="G22" s="303">
        <v>1</v>
      </c>
    </row>
    <row r="23" spans="1:7" ht="12" customHeight="1">
      <c r="A23" s="134" t="str">
        <f>INPUT!B262</f>
        <v>Nebraska Courtland % Return Flow</v>
      </c>
      <c r="B23" s="134">
        <f>INPUT!C262</f>
        <v>1</v>
      </c>
      <c r="C23">
        <v>0.3259126335637964</v>
      </c>
      <c r="D23">
        <v>1</v>
      </c>
      <c r="E23">
        <v>1</v>
      </c>
      <c r="F23">
        <v>1</v>
      </c>
      <c r="G23" s="303">
        <v>1</v>
      </c>
    </row>
    <row r="24" spans="1:7" ht="12" customHeight="1">
      <c r="A24" s="134" t="str">
        <f>+INPUT!B267</f>
        <v>Courtland Canal Above Lovewell %  Return Flow</v>
      </c>
      <c r="B24" s="134">
        <f>+INPUT!C267</f>
        <v>0.6530681695634715</v>
      </c>
      <c r="C24">
        <v>0.5180198161155845</v>
      </c>
      <c r="D24">
        <v>0.7921782129742961</v>
      </c>
      <c r="E24">
        <v>0.629970278969957</v>
      </c>
      <c r="F24">
        <v>0.6201808211420482</v>
      </c>
      <c r="G24" s="303">
        <v>0.5721579468402495</v>
      </c>
    </row>
    <row r="25" spans="1:7" ht="12" customHeight="1">
      <c r="A25" s="134" t="str">
        <f>+INPUT!B271</f>
        <v>Courtland Canal Below Lovewell % Return Flow</v>
      </c>
      <c r="B25" s="134">
        <f>+INPUT!C271</f>
        <v>0.5383143190298507</v>
      </c>
      <c r="C25">
        <v>0.4566515194068415</v>
      </c>
      <c r="D25">
        <v>0.49614925333510324</v>
      </c>
      <c r="E25">
        <v>0.5266655348047539</v>
      </c>
      <c r="F25">
        <v>0.4887819467882661</v>
      </c>
      <c r="G25" s="303">
        <v>0.5112523973675963</v>
      </c>
    </row>
    <row r="26" spans="1:7" ht="12.75">
      <c r="A26" s="99"/>
      <c r="B26" s="106"/>
      <c r="G26" s="303"/>
    </row>
    <row r="27" spans="1:7" ht="12.75">
      <c r="A27" s="112" t="s">
        <v>174</v>
      </c>
      <c r="B27" s="110"/>
      <c r="G27" s="303"/>
    </row>
    <row r="28" spans="1:7" ht="12.75">
      <c r="A28" s="108" t="s">
        <v>193</v>
      </c>
      <c r="B28" s="110"/>
      <c r="G28" s="303"/>
    </row>
    <row r="29" spans="1:7" ht="12.75">
      <c r="A29" s="135" t="str">
        <f>+INPUT!B196</f>
        <v>Republican River Near Hardy</v>
      </c>
      <c r="B29" s="135">
        <f>+INPUT!C196</f>
        <v>263181</v>
      </c>
      <c r="C29">
        <v>52394</v>
      </c>
      <c r="D29">
        <v>41964</v>
      </c>
      <c r="E29">
        <v>16980</v>
      </c>
      <c r="F29">
        <v>14089</v>
      </c>
      <c r="G29" s="303">
        <v>99384</v>
      </c>
    </row>
    <row r="30" spans="1:7" ht="12.75">
      <c r="A30" s="135" t="str">
        <f>+INPUT!B183</f>
        <v>North Fork Republican River At Colorado-Nebraska State Line</v>
      </c>
      <c r="B30" s="135">
        <f>+INPUT!C183</f>
        <v>21636</v>
      </c>
      <c r="C30">
        <v>17700</v>
      </c>
      <c r="D30">
        <v>19759</v>
      </c>
      <c r="E30">
        <v>21060</v>
      </c>
      <c r="F30">
        <v>17608</v>
      </c>
      <c r="G30" s="303">
        <v>20565.5</v>
      </c>
    </row>
    <row r="31" spans="1:7" ht="12.75">
      <c r="A31" s="135" t="str">
        <f>+INPUT!B184</f>
        <v>Arikaree River At Haigler</v>
      </c>
      <c r="B31" s="135">
        <f>+INPUT!C184</f>
        <v>1567.8</v>
      </c>
      <c r="C31">
        <v>1060</v>
      </c>
      <c r="D31">
        <v>341</v>
      </c>
      <c r="E31">
        <v>1151</v>
      </c>
      <c r="F31">
        <v>404</v>
      </c>
      <c r="G31" s="303">
        <v>1330.51</v>
      </c>
    </row>
    <row r="32" spans="1:7" ht="12.75">
      <c r="A32" s="135" t="str">
        <f>+INPUT!B185</f>
        <v>Buffalo Creek Near Haigler</v>
      </c>
      <c r="B32" s="135">
        <f>+INPUT!C185</f>
        <v>2188</v>
      </c>
      <c r="C32">
        <v>2090</v>
      </c>
      <c r="D32">
        <v>2276</v>
      </c>
      <c r="E32">
        <v>2227</v>
      </c>
      <c r="F32">
        <v>1731</v>
      </c>
      <c r="G32" s="303">
        <v>2094.93</v>
      </c>
    </row>
    <row r="33" spans="1:7" ht="12.75">
      <c r="A33" s="135" t="str">
        <f>+INPUT!B186</f>
        <v>Rock Creek At Parks</v>
      </c>
      <c r="B33" s="135">
        <f>+INPUT!C186</f>
        <v>4852</v>
      </c>
      <c r="C33">
        <v>4710</v>
      </c>
      <c r="D33">
        <v>5419</v>
      </c>
      <c r="E33">
        <v>5466</v>
      </c>
      <c r="F33">
        <v>5355</v>
      </c>
      <c r="G33" s="303">
        <v>5389.14</v>
      </c>
    </row>
    <row r="34" spans="1:7" ht="12.75">
      <c r="A34" s="135" t="str">
        <f>+INPUT!B187</f>
        <v>South Fork Republican River Near Benkelman</v>
      </c>
      <c r="B34" s="135">
        <f>+INPUT!C187</f>
        <v>1424</v>
      </c>
      <c r="C34">
        <v>905.35872</v>
      </c>
      <c r="D34">
        <v>0</v>
      </c>
      <c r="E34">
        <v>0</v>
      </c>
      <c r="F34">
        <v>0</v>
      </c>
      <c r="G34" s="303">
        <v>673.945</v>
      </c>
    </row>
    <row r="35" spans="1:7" ht="12.75">
      <c r="A35" s="135" t="str">
        <f>+INPUT!B188</f>
        <v>Frenchman Creek At Culbertson</v>
      </c>
      <c r="B35" s="135">
        <f>+INPUT!C188</f>
        <v>33220</v>
      </c>
      <c r="C35">
        <v>13360</v>
      </c>
      <c r="D35">
        <v>19926</v>
      </c>
      <c r="E35">
        <v>23235</v>
      </c>
      <c r="F35">
        <v>22606</v>
      </c>
      <c r="G35" s="303">
        <v>44675.7</v>
      </c>
    </row>
    <row r="36" spans="1:7" ht="12.75">
      <c r="A36" s="135" t="str">
        <f>+INPUT!B189</f>
        <v>Driftwood Creek Near McCook</v>
      </c>
      <c r="B36" s="135">
        <f>+INPUT!C189</f>
        <v>2539</v>
      </c>
      <c r="C36">
        <v>1100</v>
      </c>
      <c r="D36">
        <v>1201</v>
      </c>
      <c r="E36">
        <v>1911</v>
      </c>
      <c r="F36">
        <v>1714</v>
      </c>
      <c r="G36" s="303">
        <v>4311.31</v>
      </c>
    </row>
    <row r="37" spans="1:7" ht="12.75">
      <c r="A37" s="135" t="str">
        <f>+INPUT!B190</f>
        <v>Red Willow Creek Near Red Willow</v>
      </c>
      <c r="B37" s="135">
        <f>+INPUT!C190</f>
        <v>12419</v>
      </c>
      <c r="C37">
        <v>3970</v>
      </c>
      <c r="D37">
        <v>3555</v>
      </c>
      <c r="E37">
        <v>3791</v>
      </c>
      <c r="F37">
        <v>10018</v>
      </c>
      <c r="G37" s="303">
        <v>6618.43</v>
      </c>
    </row>
    <row r="38" spans="1:7" ht="12.75">
      <c r="A38" s="135" t="str">
        <f>+INPUT!B191</f>
        <v>Medicine Creek Below Harry Strunk</v>
      </c>
      <c r="B38" s="135">
        <f>+INPUT!C191</f>
        <v>65915</v>
      </c>
      <c r="C38">
        <v>19850</v>
      </c>
      <c r="D38">
        <v>23300</v>
      </c>
      <c r="E38">
        <v>19992</v>
      </c>
      <c r="F38">
        <v>22648</v>
      </c>
      <c r="G38" s="303">
        <v>50356</v>
      </c>
    </row>
    <row r="39" spans="1:7" ht="12.75">
      <c r="A39" s="135" t="str">
        <f>+INPUT!B193</f>
        <v>Sappa Creek Near Stamford</v>
      </c>
      <c r="B39" s="135">
        <f>+INPUT!C193</f>
        <v>7751</v>
      </c>
      <c r="C39">
        <v>179.11552</v>
      </c>
      <c r="D39">
        <v>84</v>
      </c>
      <c r="E39">
        <v>262</v>
      </c>
      <c r="F39">
        <v>0</v>
      </c>
      <c r="G39" s="303">
        <v>4451.06</v>
      </c>
    </row>
    <row r="40" spans="1:7" ht="12.75">
      <c r="A40" s="135" t="str">
        <f>+INPUT!B194</f>
        <v>Prairie Dog Creek Near Woodruff</v>
      </c>
      <c r="B40" s="135">
        <f>+INPUT!C194</f>
        <v>7506</v>
      </c>
      <c r="C40">
        <v>1087.4502400000001</v>
      </c>
      <c r="D40">
        <v>147</v>
      </c>
      <c r="E40">
        <v>3436</v>
      </c>
      <c r="F40">
        <v>153</v>
      </c>
      <c r="G40" s="303">
        <v>5458.3</v>
      </c>
    </row>
    <row r="41" spans="1:7" ht="12.75">
      <c r="A41" s="136" t="s">
        <v>122</v>
      </c>
      <c r="B41" s="110"/>
      <c r="C41" s="110"/>
      <c r="D41" s="110"/>
      <c r="E41" s="110"/>
      <c r="G41" s="303"/>
    </row>
    <row r="42" spans="1:7" ht="12.75">
      <c r="A42" s="135" t="str">
        <f>+INPUT!B224</f>
        <v>Swanson Lake Evaporation</v>
      </c>
      <c r="B42" s="135">
        <f>+INPUT!C224</f>
        <v>5526.676208333334</v>
      </c>
      <c r="C42">
        <v>6086</v>
      </c>
      <c r="D42">
        <v>2588.2</v>
      </c>
      <c r="E42">
        <v>5637.999291666667</v>
      </c>
      <c r="F42">
        <v>10082</v>
      </c>
      <c r="G42" s="303">
        <v>6443.9</v>
      </c>
    </row>
    <row r="43" spans="1:7" ht="12.75">
      <c r="A43" s="135" t="str">
        <f>+INPUT!B225</f>
        <v>Swanson Lake Change In Storage</v>
      </c>
      <c r="B43" s="135">
        <f>+INPUT!C225</f>
        <v>6799.999999999997</v>
      </c>
      <c r="C43">
        <v>4735</v>
      </c>
      <c r="D43">
        <v>3900</v>
      </c>
      <c r="E43">
        <v>4600</v>
      </c>
      <c r="F43">
        <v>1200</v>
      </c>
      <c r="G43" s="303">
        <v>8900</v>
      </c>
    </row>
    <row r="44" spans="1:7" ht="12.75">
      <c r="A44" s="135" t="str">
        <f>+INPUT!B218</f>
        <v>Hugh Butler Lake Evaporation</v>
      </c>
      <c r="B44" s="135">
        <f>+INPUT!C218</f>
        <v>1202.3989166666668</v>
      </c>
      <c r="C44">
        <v>2377</v>
      </c>
      <c r="D44">
        <v>2025.5</v>
      </c>
      <c r="E44">
        <v>2230.2614166666667</v>
      </c>
      <c r="F44">
        <v>2493.6514999999995</v>
      </c>
      <c r="G44" s="303">
        <v>2368.7</v>
      </c>
    </row>
    <row r="45" spans="1:7" ht="12.75">
      <c r="A45" s="135" t="str">
        <f>+INPUT!B220</f>
        <v>Harry Strunk Lake Evaporation</v>
      </c>
      <c r="B45" s="135">
        <f>+INPUT!C220</f>
        <v>1591.4419999999998</v>
      </c>
      <c r="C45">
        <v>3755</v>
      </c>
      <c r="D45">
        <v>2058.9</v>
      </c>
      <c r="E45">
        <v>2771.705791666667</v>
      </c>
      <c r="F45">
        <v>3034.878083333333</v>
      </c>
      <c r="G45" s="303">
        <v>1548.8</v>
      </c>
    </row>
    <row r="46" spans="1:7" ht="12.75">
      <c r="A46" s="135" t="str">
        <f>+INPUT!B226</f>
        <v>Harlan County Evaporation</v>
      </c>
      <c r="B46" s="135">
        <f>+INPUT!C226</f>
        <v>12238.509583333333</v>
      </c>
      <c r="C46">
        <v>23664</v>
      </c>
      <c r="D46">
        <v>17017</v>
      </c>
      <c r="E46">
        <v>17706.291625</v>
      </c>
      <c r="F46">
        <v>16181.838666666667</v>
      </c>
      <c r="G46" s="303">
        <v>14701</v>
      </c>
    </row>
    <row r="47" spans="1:7" ht="12.75">
      <c r="A47" s="135" t="str">
        <f>+INPUT!B227</f>
        <v>Harlan County Change In Storage</v>
      </c>
      <c r="B47" s="135">
        <f>+INPUT!C227</f>
        <v>63900.00000000001</v>
      </c>
      <c r="C47">
        <v>-47110</v>
      </c>
      <c r="D47">
        <v>-6200</v>
      </c>
      <c r="E47">
        <v>21000</v>
      </c>
      <c r="F47">
        <v>-11800</v>
      </c>
      <c r="G47" s="303">
        <v>139100</v>
      </c>
    </row>
    <row r="48" spans="1:7" ht="12.75">
      <c r="A48" s="135" t="str">
        <f>+INPUT!B228</f>
        <v>Lovewell Reservoir Ev charged to the Republican River </v>
      </c>
      <c r="B48" s="135">
        <f>+INPUT!C228</f>
        <v>10</v>
      </c>
      <c r="C48">
        <v>670</v>
      </c>
      <c r="D48">
        <v>1110</v>
      </c>
      <c r="E48">
        <v>2020</v>
      </c>
      <c r="F48">
        <v>1770</v>
      </c>
      <c r="G48" s="303">
        <v>130</v>
      </c>
    </row>
    <row r="49" spans="1:7" ht="12.75">
      <c r="A49" s="136" t="s">
        <v>194</v>
      </c>
      <c r="B49" s="110"/>
      <c r="C49" s="110"/>
      <c r="D49" s="110"/>
      <c r="E49" s="110"/>
      <c r="G49" s="303"/>
    </row>
    <row r="50" spans="1:7" ht="12.75">
      <c r="A50" s="135" t="str">
        <f>+INPUT!B247</f>
        <v>Bartley Canal Diversion</v>
      </c>
      <c r="B50" s="135">
        <f>+INPUT!C247</f>
        <v>0</v>
      </c>
      <c r="C50">
        <v>0</v>
      </c>
      <c r="D50">
        <v>0</v>
      </c>
      <c r="E50">
        <v>0</v>
      </c>
      <c r="F50">
        <v>5830</v>
      </c>
      <c r="G50" s="303">
        <v>0</v>
      </c>
    </row>
    <row r="51" spans="1:7" ht="12.75">
      <c r="A51" s="135" t="str">
        <f>+INPUT!B249</f>
        <v>Cambridge Canal Diversion</v>
      </c>
      <c r="B51" s="135">
        <f>+INPUT!C249</f>
        <v>19387</v>
      </c>
      <c r="C51">
        <v>18332</v>
      </c>
      <c r="D51">
        <v>21964</v>
      </c>
      <c r="E51">
        <v>19732</v>
      </c>
      <c r="F51">
        <v>19692</v>
      </c>
      <c r="G51" s="303">
        <v>0</v>
      </c>
    </row>
    <row r="52" spans="1:7" ht="12.75">
      <c r="A52" s="135" t="str">
        <f>+INPUT!B251</f>
        <v>Naponee Canal Diversion</v>
      </c>
      <c r="B52" s="135">
        <f>+INPUT!C251</f>
        <v>316</v>
      </c>
      <c r="C52">
        <v>2162</v>
      </c>
      <c r="D52">
        <v>0</v>
      </c>
      <c r="E52">
        <v>0</v>
      </c>
      <c r="F52">
        <v>0</v>
      </c>
      <c r="G52" s="303">
        <v>0</v>
      </c>
    </row>
    <row r="53" spans="1:7" ht="12.75">
      <c r="A53" s="135" t="str">
        <f>+INPUT!B253</f>
        <v>Franklin Canal Diversion</v>
      </c>
      <c r="B53" s="135">
        <f>+INPUT!C253</f>
        <v>16085</v>
      </c>
      <c r="C53">
        <v>15262</v>
      </c>
      <c r="D53">
        <v>0</v>
      </c>
      <c r="E53">
        <v>0</v>
      </c>
      <c r="F53">
        <v>0</v>
      </c>
      <c r="G53" s="303">
        <v>0</v>
      </c>
    </row>
    <row r="54" spans="1:7" ht="12.75">
      <c r="A54" s="135" t="str">
        <f>+INPUT!B255</f>
        <v>Franklin Pump Canal Diversions</v>
      </c>
      <c r="B54" s="135">
        <f>+INPUT!C255</f>
        <v>576</v>
      </c>
      <c r="C54">
        <v>1687</v>
      </c>
      <c r="D54">
        <v>0</v>
      </c>
      <c r="E54">
        <v>0</v>
      </c>
      <c r="F54">
        <v>0</v>
      </c>
      <c r="G54" s="303">
        <v>0</v>
      </c>
    </row>
    <row r="55" spans="1:7" ht="12.75">
      <c r="A55" s="135" t="str">
        <f>+INPUT!B257</f>
        <v>Superior Canal Diversions</v>
      </c>
      <c r="B55" s="135">
        <f>+INPUT!C257</f>
        <v>5666</v>
      </c>
      <c r="C55">
        <v>8174</v>
      </c>
      <c r="D55">
        <v>5800</v>
      </c>
      <c r="E55">
        <v>4712</v>
      </c>
      <c r="F55">
        <v>0</v>
      </c>
      <c r="G55" s="303">
        <v>0</v>
      </c>
    </row>
    <row r="56" spans="1:7" ht="12.75">
      <c r="A56" s="136"/>
      <c r="B56" s="110"/>
      <c r="G56" s="303"/>
    </row>
    <row r="57" spans="1:7" ht="12.75">
      <c r="A57" s="135" t="str">
        <f>+INPUT!B260</f>
        <v>Courtland Canal Diversions At Headgate</v>
      </c>
      <c r="B57" s="135">
        <f>+INPUT!C260</f>
        <v>32224</v>
      </c>
      <c r="C57">
        <v>66500</v>
      </c>
      <c r="D57">
        <v>31501</v>
      </c>
      <c r="E57">
        <v>48737</v>
      </c>
      <c r="F57">
        <v>50630.97255</v>
      </c>
      <c r="G57" s="303">
        <v>65851</v>
      </c>
    </row>
    <row r="58" spans="1:7" ht="12.75">
      <c r="A58" s="135" t="str">
        <f>+INPUT!B261</f>
        <v>Diversions to Nebraska Courtland</v>
      </c>
      <c r="B58" s="135">
        <f>+INPUT!C261</f>
        <v>0</v>
      </c>
      <c r="C58">
        <v>1591</v>
      </c>
      <c r="D58">
        <v>0</v>
      </c>
      <c r="E58">
        <v>0</v>
      </c>
      <c r="F58">
        <v>0</v>
      </c>
      <c r="G58" s="303">
        <v>0</v>
      </c>
    </row>
    <row r="59" spans="1:7" ht="12.75">
      <c r="A59" s="135" t="str">
        <f>INPUT!B263</f>
        <v>Courtland Canal, Loss in NE assigned to upper Courtland KS</v>
      </c>
      <c r="B59" s="135">
        <f>INPUT!C263</f>
        <v>3671</v>
      </c>
      <c r="C59">
        <v>2841</v>
      </c>
      <c r="D59">
        <v>184</v>
      </c>
      <c r="E59">
        <v>415</v>
      </c>
      <c r="F59">
        <v>2242</v>
      </c>
      <c r="G59" s="303">
        <v>2087</v>
      </c>
    </row>
    <row r="60" spans="1:7" ht="12.75">
      <c r="A60" s="135" t="str">
        <f>INPUT!B264</f>
        <v>Courtland Canal, Loss in NE assigned to delivery to Lovewell </v>
      </c>
      <c r="B60" s="135">
        <f>INPUT!C264</f>
        <v>2945</v>
      </c>
      <c r="C60">
        <v>10116</v>
      </c>
      <c r="D60">
        <v>5877</v>
      </c>
      <c r="E60">
        <v>8236</v>
      </c>
      <c r="F60">
        <v>7847</v>
      </c>
      <c r="G60" s="303">
        <v>7628</v>
      </c>
    </row>
    <row r="61" spans="1:7" ht="12.75">
      <c r="A61" s="135" t="str">
        <f>+INPUT!B265</f>
        <v>Courtland Canal At Kansas-Nebraska State Line</v>
      </c>
      <c r="B61" s="135">
        <f>INPUT!C265</f>
        <v>25297</v>
      </c>
      <c r="C61">
        <v>51952</v>
      </c>
      <c r="D61">
        <v>25440</v>
      </c>
      <c r="E61">
        <v>40086</v>
      </c>
      <c r="F61">
        <v>38472.587</v>
      </c>
      <c r="G61" s="306">
        <v>56136</v>
      </c>
    </row>
    <row r="62" spans="1:7" ht="12.75">
      <c r="A62" s="135" t="str">
        <f>+INPUT!B266</f>
        <v>Courtland Canal Diversions to the Upper Courtland District</v>
      </c>
      <c r="B62" s="135">
        <f>+INPUT!C266</f>
        <v>17433</v>
      </c>
      <c r="C62">
        <v>17511</v>
      </c>
      <c r="D62">
        <v>779</v>
      </c>
      <c r="E62">
        <v>1864</v>
      </c>
      <c r="F62">
        <v>10595</v>
      </c>
      <c r="G62" s="306">
        <v>14748</v>
      </c>
    </row>
    <row r="63" spans="1:7" ht="12.75">
      <c r="A63" s="135" t="str">
        <f>+INPUT!B268</f>
        <v>Courtland Canal, Loss assigned to deliveries of water to Lovewell, Stateline to Lovewell</v>
      </c>
      <c r="B63" s="135">
        <f>+INPUT!C268</f>
        <v>3878</v>
      </c>
      <c r="C63">
        <v>10687</v>
      </c>
      <c r="D63">
        <v>10715</v>
      </c>
      <c r="E63">
        <v>9372</v>
      </c>
      <c r="F63">
        <v>8090</v>
      </c>
      <c r="G63" s="306">
        <v>8788</v>
      </c>
    </row>
    <row r="64" spans="1:7" ht="12.75">
      <c r="A64" s="135" t="str">
        <f>+INPUT!B269</f>
        <v>Courtland Canal Deliveries To Lovewell Reservoir</v>
      </c>
      <c r="B64" s="135">
        <f>+INPUT!C269</f>
        <v>7657</v>
      </c>
      <c r="C64">
        <v>26596</v>
      </c>
      <c r="D64">
        <v>14130</v>
      </c>
      <c r="E64">
        <v>29265</v>
      </c>
      <c r="F64">
        <v>14647</v>
      </c>
      <c r="G64" s="306">
        <v>34687</v>
      </c>
    </row>
    <row r="65" spans="1:7" ht="12.75">
      <c r="A65" s="135" t="str">
        <f>+INPUT!B270</f>
        <v>Diversions of Republican River water from Lovewell Reservoir to the Courtland Canal below Lovewell</v>
      </c>
      <c r="B65" s="135">
        <f>+INPUT!C270</f>
        <v>11280</v>
      </c>
      <c r="C65">
        <v>21270</v>
      </c>
      <c r="D65">
        <v>25590</v>
      </c>
      <c r="E65">
        <v>25590</v>
      </c>
      <c r="F65">
        <v>28066</v>
      </c>
      <c r="G65" s="303">
        <v>36663</v>
      </c>
    </row>
    <row r="66" spans="1:7" ht="12.75">
      <c r="A66" s="157"/>
      <c r="B66" s="158"/>
      <c r="G66" s="303"/>
    </row>
    <row r="67" spans="1:7" ht="12.75">
      <c r="A67" s="135" t="str">
        <f>+INPUT!B274</f>
        <v>Kansas Bostwick Diversions During Irrigation Season (2001-2003 average, no diversion in 2005)</v>
      </c>
      <c r="B67" s="135">
        <f>+INPUT!C274</f>
        <v>29131.722785025202</v>
      </c>
      <c r="C67">
        <v>27100</v>
      </c>
      <c r="D67">
        <v>41081</v>
      </c>
      <c r="E67">
        <v>41081</v>
      </c>
      <c r="F67">
        <v>19801</v>
      </c>
      <c r="G67" s="303">
        <v>29853</v>
      </c>
    </row>
    <row r="68" spans="1:7" ht="12.75">
      <c r="A68" s="137" t="s">
        <v>482</v>
      </c>
      <c r="B68" s="135">
        <f>+INPUT!C275</f>
        <v>22914.6008</v>
      </c>
      <c r="C68">
        <v>28844</v>
      </c>
      <c r="D68">
        <v>40187</v>
      </c>
      <c r="E68">
        <v>40187</v>
      </c>
      <c r="F68">
        <v>0</v>
      </c>
      <c r="G68" s="303">
        <v>0</v>
      </c>
    </row>
    <row r="69" spans="1:7" ht="12.75">
      <c r="A69" s="135"/>
      <c r="B69" s="135"/>
      <c r="G69" s="303"/>
    </row>
    <row r="70" spans="1:7" ht="12.75">
      <c r="A70" s="135" t="str">
        <f>+INPUT!B241</f>
        <v>Meeker-Driftwood Canal Diversions</v>
      </c>
      <c r="B70" s="135">
        <f>+INPUT!C241</f>
        <v>0</v>
      </c>
      <c r="C70">
        <v>0</v>
      </c>
      <c r="D70">
        <v>0</v>
      </c>
      <c r="E70">
        <v>0</v>
      </c>
      <c r="F70">
        <v>0</v>
      </c>
      <c r="G70" s="303">
        <v>0</v>
      </c>
    </row>
    <row r="71" spans="1:7" ht="12.75">
      <c r="A71" s="135" t="str">
        <f>+INPUT!B243</f>
        <v>Red Willow Canal Diversions</v>
      </c>
      <c r="B71" s="135">
        <f>+INPUT!C243</f>
        <v>4089</v>
      </c>
      <c r="C71">
        <v>0</v>
      </c>
      <c r="D71">
        <v>0</v>
      </c>
      <c r="E71">
        <v>0</v>
      </c>
      <c r="F71">
        <v>0</v>
      </c>
      <c r="G71" s="303">
        <v>0</v>
      </c>
    </row>
    <row r="72" spans="1:7" ht="12.75">
      <c r="A72" s="135" t="str">
        <f>+INPUT!B237</f>
        <v>Culbertson Canal Diversions</v>
      </c>
      <c r="B72" s="135">
        <f>+INPUT!C237</f>
        <v>0</v>
      </c>
      <c r="C72">
        <v>8002</v>
      </c>
      <c r="D72">
        <v>8674</v>
      </c>
      <c r="E72">
        <v>6562</v>
      </c>
      <c r="F72">
        <v>0</v>
      </c>
      <c r="G72" s="303">
        <v>0</v>
      </c>
    </row>
    <row r="73" spans="1:7" ht="12.75">
      <c r="A73" s="135" t="str">
        <f>+INPUT!B238</f>
        <v>Culbertson Canal Extension Diversions</v>
      </c>
      <c r="B73" s="135">
        <f>+INPUT!C238</f>
        <v>0</v>
      </c>
      <c r="C73">
        <v>0</v>
      </c>
      <c r="D73">
        <v>0</v>
      </c>
      <c r="E73">
        <v>0</v>
      </c>
      <c r="F73">
        <v>0</v>
      </c>
      <c r="G73" s="303">
        <v>0</v>
      </c>
    </row>
    <row r="74" spans="1:7" ht="12.75">
      <c r="A74" s="135" t="str">
        <f>+INPUT!B232</f>
        <v>Haigler Canal Diversions - Nebraska</v>
      </c>
      <c r="B74" s="135">
        <f>+INPUT!C232</f>
        <v>4995</v>
      </c>
      <c r="C74">
        <v>4965</v>
      </c>
      <c r="D74">
        <v>3732</v>
      </c>
      <c r="E74">
        <v>4745</v>
      </c>
      <c r="F74">
        <v>4418</v>
      </c>
      <c r="G74" s="303">
        <v>4522</v>
      </c>
    </row>
    <row r="75" spans="1:7" ht="12.75">
      <c r="A75" s="136" t="s">
        <v>195</v>
      </c>
      <c r="B75" s="110"/>
      <c r="G75" s="303"/>
    </row>
    <row r="76" spans="1:7" ht="12.75">
      <c r="A76" s="135" t="str">
        <f>+INPUT!B137</f>
        <v>SW Diversions - Irrigation - Non-Federal Canals- Kansas</v>
      </c>
      <c r="B76" s="135">
        <f>+INPUT!C137</f>
        <v>0</v>
      </c>
      <c r="C76">
        <v>0</v>
      </c>
      <c r="D76">
        <v>0</v>
      </c>
      <c r="E76">
        <v>0</v>
      </c>
      <c r="F76">
        <v>0</v>
      </c>
      <c r="G76" s="303">
        <v>0</v>
      </c>
    </row>
    <row r="77" spans="1:7" ht="12.75">
      <c r="A77" s="135" t="str">
        <f>+INPUT!B138</f>
        <v>SW Diversions - Irrigation - Small Pumps - Kansas</v>
      </c>
      <c r="B77" s="135">
        <f>+INPUT!C138</f>
        <v>449</v>
      </c>
      <c r="C77">
        <v>1064</v>
      </c>
      <c r="D77">
        <v>668</v>
      </c>
      <c r="E77">
        <v>767</v>
      </c>
      <c r="F77">
        <v>775.95</v>
      </c>
      <c r="G77" s="303">
        <v>518</v>
      </c>
    </row>
    <row r="78" spans="1:7" ht="12.75">
      <c r="A78" s="135" t="str">
        <f>+INPUT!B139</f>
        <v>SW Diversions - M&amp;I - Kansas</v>
      </c>
      <c r="B78" s="135">
        <f>+INPUT!C139</f>
        <v>0</v>
      </c>
      <c r="C78">
        <v>0</v>
      </c>
      <c r="D78">
        <v>0</v>
      </c>
      <c r="E78">
        <v>0</v>
      </c>
      <c r="F78">
        <v>0</v>
      </c>
      <c r="G78" s="303">
        <v>0</v>
      </c>
    </row>
    <row r="79" spans="1:7" ht="12.75">
      <c r="A79" s="135" t="str">
        <f>+INPUT!B178</f>
        <v>Non-Federal Reservoir Evaporation - Kansas</v>
      </c>
      <c r="B79" s="135">
        <f>+INPUT!C178</f>
        <v>84</v>
      </c>
      <c r="C79">
        <v>0</v>
      </c>
      <c r="D79">
        <v>147.9</v>
      </c>
      <c r="E79">
        <v>147.9</v>
      </c>
      <c r="F79">
        <v>122.42</v>
      </c>
      <c r="G79" s="303">
        <v>84</v>
      </c>
    </row>
    <row r="80" spans="1:7" ht="12.75">
      <c r="A80" s="136" t="s">
        <v>196</v>
      </c>
      <c r="B80" s="110"/>
      <c r="G80" s="303"/>
    </row>
    <row r="81" spans="1:7" ht="12.75">
      <c r="A81" s="135" t="str">
        <f>+INPUT!B140&amp;" "&amp;"-"&amp;" "&amp;(LEFT(INPUT!A137,8))</f>
        <v>SW Diversions - Irrigation - Non-Federal Canals - Nebraska - Mainstem</v>
      </c>
      <c r="B81" s="135">
        <f>+INPUT!C140</f>
        <v>682</v>
      </c>
      <c r="C81">
        <v>3719</v>
      </c>
      <c r="D81">
        <v>3066</v>
      </c>
      <c r="E81">
        <v>1660.7</v>
      </c>
      <c r="F81">
        <v>2460</v>
      </c>
      <c r="G81" s="303">
        <v>835</v>
      </c>
    </row>
    <row r="82" spans="1:7" ht="12.75">
      <c r="A82" s="135" t="str">
        <f>+INPUT!B141&amp;" "&amp;"-"&amp;" "&amp;(LEFT(INPUT!$A$137,8))</f>
        <v>SW Diversions - Irrigation - Small Pumps - Nebraska - Mainstem</v>
      </c>
      <c r="B82" s="135">
        <f>+INPUT!C141</f>
        <v>1053</v>
      </c>
      <c r="C82">
        <v>1401</v>
      </c>
      <c r="D82">
        <v>1931</v>
      </c>
      <c r="E82">
        <v>1918</v>
      </c>
      <c r="F82">
        <v>590</v>
      </c>
      <c r="G82" s="303">
        <v>675</v>
      </c>
    </row>
    <row r="83" spans="1:7" ht="12.75">
      <c r="A83" s="135" t="str">
        <f>+INPUT!B142&amp;" "&amp;"-"&amp;" "&amp;(LEFT(INPUT!$A$137,8))</f>
        <v>SW Diversions - M&amp;I - Nebraska - Mainstem</v>
      </c>
      <c r="B83" s="135">
        <f>+INPUT!C142</f>
        <v>0</v>
      </c>
      <c r="C83">
        <v>0</v>
      </c>
      <c r="D83">
        <v>0</v>
      </c>
      <c r="E83">
        <v>0</v>
      </c>
      <c r="F83">
        <v>0</v>
      </c>
      <c r="G83" s="303">
        <v>0</v>
      </c>
    </row>
    <row r="84" spans="1:7" ht="12.75">
      <c r="A84" s="135" t="str">
        <f>+INPUT!B179</f>
        <v>Non-Federal Reservoir Evaporation - Nebraska - Above Guide Rock Gage - Whole Basin Value:</v>
      </c>
      <c r="B84" s="135">
        <f>INPUT!C179</f>
        <v>1287</v>
      </c>
      <c r="C84">
        <v>0</v>
      </c>
      <c r="D84">
        <v>2331</v>
      </c>
      <c r="E84">
        <v>1891</v>
      </c>
      <c r="F84">
        <v>830</v>
      </c>
      <c r="G84" s="303">
        <v>1525</v>
      </c>
    </row>
    <row r="85" spans="1:7" ht="12.75">
      <c r="A85" s="135" t="str">
        <f>+INPUT!B180</f>
        <v>Non-Federal Reservoir Evaporation - Nebraska - Below Guide Rock Gage - Whole Basin Value:</v>
      </c>
      <c r="B85" s="135">
        <f>+INPUT!C180</f>
        <v>147</v>
      </c>
      <c r="C85">
        <v>0</v>
      </c>
      <c r="D85">
        <v>340</v>
      </c>
      <c r="E85">
        <v>137</v>
      </c>
      <c r="F85">
        <v>0</v>
      </c>
      <c r="G85" s="303">
        <v>163</v>
      </c>
    </row>
    <row r="86" spans="1:7" ht="12.75">
      <c r="A86" s="135" t="str">
        <f>+INPUT!B211</f>
        <v>Mainstem Flood Flow</v>
      </c>
      <c r="B86" s="135">
        <f>+INPUT!C211</f>
        <v>0</v>
      </c>
      <c r="C86">
        <v>0</v>
      </c>
      <c r="D86">
        <v>0</v>
      </c>
      <c r="E86">
        <v>0</v>
      </c>
      <c r="F86">
        <v>0</v>
      </c>
      <c r="G86" s="303">
        <v>0</v>
      </c>
    </row>
    <row r="87" spans="1:7" ht="12.75">
      <c r="A87" s="138" t="s">
        <v>78</v>
      </c>
      <c r="B87" s="110"/>
      <c r="G87" s="303"/>
    </row>
    <row r="88" spans="1:7" ht="15.75">
      <c r="A88" s="126" t="s">
        <v>197</v>
      </c>
      <c r="B88" s="115"/>
      <c r="G88" s="303"/>
    </row>
    <row r="89" spans="1:7" ht="12.75">
      <c r="A89" s="139" t="s">
        <v>445</v>
      </c>
      <c r="B89" s="129">
        <f>+B61*0.015</f>
        <v>379.455</v>
      </c>
      <c r="C89">
        <v>779.28</v>
      </c>
      <c r="D89">
        <v>381.6</v>
      </c>
      <c r="E89">
        <v>601.29</v>
      </c>
      <c r="F89">
        <v>577.088805</v>
      </c>
      <c r="G89" s="303">
        <v>842.04</v>
      </c>
    </row>
    <row r="90" spans="1:7" ht="12.75">
      <c r="A90" s="139" t="s">
        <v>457</v>
      </c>
      <c r="B90" s="129">
        <f>B59*0.18</f>
        <v>660.78</v>
      </c>
      <c r="C90">
        <v>511.38</v>
      </c>
      <c r="D90">
        <v>33.12</v>
      </c>
      <c r="E90">
        <v>74.7</v>
      </c>
      <c r="F90">
        <v>403.56</v>
      </c>
      <c r="G90" s="303">
        <v>375.65999999999997</v>
      </c>
    </row>
    <row r="91" spans="1:7" ht="12.75">
      <c r="A91" s="139" t="s">
        <v>458</v>
      </c>
      <c r="B91" s="129">
        <f>B60*0.18</f>
        <v>530.1</v>
      </c>
      <c r="C91">
        <v>1820.88</v>
      </c>
      <c r="D91">
        <v>1057.86</v>
      </c>
      <c r="E91">
        <v>1482.48</v>
      </c>
      <c r="F91">
        <v>1412.46</v>
      </c>
      <c r="G91" s="303">
        <v>1373.04</v>
      </c>
    </row>
    <row r="92" spans="1:7" ht="12.75">
      <c r="A92" s="139" t="s">
        <v>459</v>
      </c>
      <c r="B92" s="129">
        <f>B63*0.18</f>
        <v>698.04</v>
      </c>
      <c r="C92">
        <v>1923.66</v>
      </c>
      <c r="D92">
        <v>1928.7</v>
      </c>
      <c r="E92">
        <v>1686.96</v>
      </c>
      <c r="F92">
        <v>1456.2</v>
      </c>
      <c r="G92" s="303">
        <v>1581.84</v>
      </c>
    </row>
    <row r="93" spans="1:7" ht="12.75">
      <c r="A93" s="139" t="s">
        <v>198</v>
      </c>
      <c r="B93" s="314">
        <f>Fed_Reservoir!E24</f>
        <v>0.5597268121625213</v>
      </c>
      <c r="C93" s="297">
        <v>0.4844129844129844</v>
      </c>
      <c r="D93" s="297">
        <v>0.5055003199291234</v>
      </c>
      <c r="E93" s="297">
        <v>0.5055003199291234</v>
      </c>
      <c r="F93">
        <v>1</v>
      </c>
      <c r="G93" s="303">
        <v>0.51</v>
      </c>
    </row>
    <row r="94" spans="1:7" ht="12.75">
      <c r="A94" s="140" t="s">
        <v>242</v>
      </c>
      <c r="B94" s="314">
        <f>1-B93</f>
        <v>0.4402731878374787</v>
      </c>
      <c r="C94" s="297">
        <v>0.5155870155870156</v>
      </c>
      <c r="D94" s="297">
        <v>0.49449968007087663</v>
      </c>
      <c r="E94" s="297">
        <v>0.49449968007087663</v>
      </c>
      <c r="F94">
        <v>0</v>
      </c>
      <c r="G94" s="303">
        <v>0.49</v>
      </c>
    </row>
    <row r="95" spans="1:7" ht="12.75">
      <c r="A95" s="140" t="s">
        <v>446</v>
      </c>
      <c r="B95" s="205">
        <f>B46*B93</f>
        <v>6850.221954699633</v>
      </c>
      <c r="C95">
        <v>11463.148863148863</v>
      </c>
      <c r="D95">
        <v>8602.098944233892</v>
      </c>
      <c r="E95">
        <v>8950.536081195858</v>
      </c>
      <c r="F95">
        <v>16181.838666666667</v>
      </c>
      <c r="G95" s="303">
        <v>7497.51</v>
      </c>
    </row>
    <row r="96" spans="1:7" ht="12.75">
      <c r="A96" s="140" t="s">
        <v>243</v>
      </c>
      <c r="B96" s="129">
        <f>B46-B95</f>
        <v>5388.2876286337</v>
      </c>
      <c r="C96">
        <v>12200.851136851137</v>
      </c>
      <c r="D96">
        <v>8414.901055766108</v>
      </c>
      <c r="E96">
        <v>8755.755543804144</v>
      </c>
      <c r="F96">
        <v>0</v>
      </c>
      <c r="G96" s="303">
        <v>7203.49</v>
      </c>
    </row>
    <row r="97" spans="1:7" ht="12.75">
      <c r="A97" s="142" t="s">
        <v>78</v>
      </c>
      <c r="B97" s="115"/>
      <c r="G97" s="303"/>
    </row>
    <row r="98" spans="1:7" ht="15.75">
      <c r="A98" s="126" t="s">
        <v>255</v>
      </c>
      <c r="B98" s="115"/>
      <c r="G98" s="303"/>
    </row>
    <row r="99" spans="1:7" ht="12.75">
      <c r="A99" s="107" t="s">
        <v>0</v>
      </c>
      <c r="B99" s="110"/>
      <c r="G99" s="303"/>
    </row>
    <row r="100" spans="1:7" ht="12.75">
      <c r="A100" s="109" t="s">
        <v>190</v>
      </c>
      <c r="B100" s="110">
        <f>+B6</f>
        <v>-2179</v>
      </c>
      <c r="C100">
        <v>132</v>
      </c>
      <c r="D100">
        <v>-1269</v>
      </c>
      <c r="E100">
        <v>-1954</v>
      </c>
      <c r="F100">
        <v>-3009</v>
      </c>
      <c r="G100" s="303">
        <v>-2033</v>
      </c>
    </row>
    <row r="101" spans="1:7" ht="12.75">
      <c r="A101" s="109" t="s">
        <v>191</v>
      </c>
      <c r="B101" s="110">
        <f>(ROUND(SUM(B100:B100),-1))</f>
        <v>-2180</v>
      </c>
      <c r="C101">
        <v>130</v>
      </c>
      <c r="D101">
        <v>-1270</v>
      </c>
      <c r="E101">
        <v>-1950</v>
      </c>
      <c r="F101">
        <v>-3010</v>
      </c>
      <c r="G101" s="303">
        <v>-2030</v>
      </c>
    </row>
    <row r="102" spans="1:7" ht="12.75">
      <c r="A102" s="108" t="s">
        <v>78</v>
      </c>
      <c r="B102" s="110"/>
      <c r="G102" s="303"/>
    </row>
    <row r="103" spans="1:7" ht="12.75">
      <c r="A103" s="143" t="s">
        <v>175</v>
      </c>
      <c r="B103" s="110"/>
      <c r="G103" s="303"/>
    </row>
    <row r="104" spans="1:7" ht="12.75">
      <c r="A104" s="110" t="str">
        <f>+A95</f>
        <v>Net Evaporation From Harlan County Reservoir Charged To Kansas</v>
      </c>
      <c r="B104" s="110">
        <f>+B95</f>
        <v>6850.221954699633</v>
      </c>
      <c r="C104">
        <v>11463.148863148863</v>
      </c>
      <c r="D104">
        <v>8602.098944233892</v>
      </c>
      <c r="E104">
        <v>8950.536081195858</v>
      </c>
      <c r="F104">
        <v>16181.838666666667</v>
      </c>
      <c r="G104" s="303">
        <v>7497.51</v>
      </c>
    </row>
    <row r="105" spans="1:7" ht="12.75">
      <c r="A105" s="110" t="str">
        <f>+A91</f>
        <v>Courtland Canal Transportation Loss in NE assigned to deliveries to Lovewell that does not recharge</v>
      </c>
      <c r="B105" s="110">
        <f>+B91</f>
        <v>530.1</v>
      </c>
      <c r="C105">
        <v>1820.88</v>
      </c>
      <c r="D105">
        <v>1057.86</v>
      </c>
      <c r="E105">
        <v>1482.48</v>
      </c>
      <c r="F105">
        <v>1412.46</v>
      </c>
      <c r="G105" s="303">
        <v>1373.04</v>
      </c>
    </row>
    <row r="106" spans="1:7" ht="12.75">
      <c r="A106" s="111" t="s">
        <v>431</v>
      </c>
      <c r="B106" s="127">
        <f>(B62)*(1-B24)</f>
        <v>6048.062600000002</v>
      </c>
      <c r="C106">
        <v>8439.955</v>
      </c>
      <c r="D106">
        <v>161.8931720930233</v>
      </c>
      <c r="E106">
        <v>689.7354</v>
      </c>
      <c r="F106">
        <v>4024.1841999999992</v>
      </c>
      <c r="G106" s="303">
        <v>6309.814600000001</v>
      </c>
    </row>
    <row r="107" spans="1:7" ht="12.75">
      <c r="A107" s="110" t="str">
        <f>+A92</f>
        <v>Courtland Canal Transportation Loss from the Stateline to Lovewell that does not return</v>
      </c>
      <c r="B107" s="110">
        <f>+B92</f>
        <v>698.04</v>
      </c>
      <c r="C107">
        <v>1923.66</v>
      </c>
      <c r="D107">
        <v>1928.7</v>
      </c>
      <c r="E107">
        <v>1686.96</v>
      </c>
      <c r="F107">
        <v>1456.2</v>
      </c>
      <c r="G107" s="303">
        <v>1581.84</v>
      </c>
    </row>
    <row r="108" spans="1:7" ht="12.75">
      <c r="A108" s="136" t="s">
        <v>199</v>
      </c>
      <c r="B108" s="110">
        <f>B48</f>
        <v>10</v>
      </c>
      <c r="C108">
        <v>670</v>
      </c>
      <c r="D108">
        <v>1110</v>
      </c>
      <c r="E108">
        <v>2020</v>
      </c>
      <c r="F108">
        <v>1770</v>
      </c>
      <c r="G108" s="303">
        <v>130</v>
      </c>
    </row>
    <row r="109" spans="1:7" ht="12.75">
      <c r="A109" s="111" t="s">
        <v>432</v>
      </c>
      <c r="B109" s="127">
        <f>B65*(1-B25)</f>
        <v>5207.814481343284</v>
      </c>
      <c r="C109">
        <v>11557.022182216482</v>
      </c>
      <c r="D109">
        <v>12893.540607154708</v>
      </c>
      <c r="E109">
        <v>12112.628964346348</v>
      </c>
      <c r="F109">
        <v>14347.845881440522</v>
      </c>
      <c r="G109" s="303">
        <v>17918.953355311816</v>
      </c>
    </row>
    <row r="110" spans="1:7" ht="12" customHeight="1">
      <c r="A110" s="136" t="str">
        <f>'NORTH FORK'!A23</f>
        <v>SW CBCU - Irrigation - Non Federal Canals</v>
      </c>
      <c r="B110" s="127">
        <f>+B76*CanalCUPercent</f>
        <v>0</v>
      </c>
      <c r="C110">
        <v>0</v>
      </c>
      <c r="D110">
        <v>0</v>
      </c>
      <c r="E110">
        <v>0</v>
      </c>
      <c r="F110">
        <v>0</v>
      </c>
      <c r="G110" s="303">
        <v>0</v>
      </c>
    </row>
    <row r="111" spans="1:7" ht="12.75">
      <c r="A111" s="136" t="str">
        <f>'NORTH FORK'!A24</f>
        <v>SW CBCU - Irrigation - Small Pumps</v>
      </c>
      <c r="B111" s="127">
        <f>+B77*PumperCUPercent</f>
        <v>336.75</v>
      </c>
      <c r="C111">
        <v>798</v>
      </c>
      <c r="D111">
        <v>501</v>
      </c>
      <c r="E111">
        <v>575.25</v>
      </c>
      <c r="F111">
        <v>581.9625</v>
      </c>
      <c r="G111" s="303">
        <v>388.5</v>
      </c>
    </row>
    <row r="112" spans="1:7" ht="12.75">
      <c r="A112" s="136" t="str">
        <f>'NORTH FORK'!A25</f>
        <v>SW CBCU - M&amp;I</v>
      </c>
      <c r="B112" s="127">
        <f>+B78*MI_CUPercent</f>
        <v>0</v>
      </c>
      <c r="C112">
        <v>0</v>
      </c>
      <c r="D112">
        <v>0</v>
      </c>
      <c r="E112">
        <v>0</v>
      </c>
      <c r="F112">
        <v>0</v>
      </c>
      <c r="G112" s="303">
        <v>0</v>
      </c>
    </row>
    <row r="113" spans="1:7" ht="12.75">
      <c r="A113" s="145" t="str">
        <f>A79</f>
        <v>Non-Federal Reservoir Evaporation - Kansas</v>
      </c>
      <c r="B113" s="127">
        <f>B79</f>
        <v>84</v>
      </c>
      <c r="C113">
        <v>0</v>
      </c>
      <c r="D113">
        <v>147.9</v>
      </c>
      <c r="E113">
        <v>147.9</v>
      </c>
      <c r="F113">
        <v>122.42</v>
      </c>
      <c r="G113" s="303">
        <v>84</v>
      </c>
    </row>
    <row r="114" spans="1:7" ht="12.75">
      <c r="A114" s="110" t="str">
        <f>'NORTH FORK'!A27</f>
        <v>SW CBCU</v>
      </c>
      <c r="B114" s="127">
        <f>SUM(B104:B113)</f>
        <v>19764.98903604292</v>
      </c>
      <c r="C114">
        <v>36672.666045365346</v>
      </c>
      <c r="D114">
        <v>26402.992723481624</v>
      </c>
      <c r="E114">
        <v>27665.490445542207</v>
      </c>
      <c r="F114">
        <v>39896.911248107186</v>
      </c>
      <c r="G114" s="303">
        <v>35283.65795531182</v>
      </c>
    </row>
    <row r="115" spans="1:7" ht="12.75">
      <c r="A115" s="110" t="str">
        <f>'NORTH FORK'!A28</f>
        <v>GW CBCU</v>
      </c>
      <c r="B115" s="127">
        <f>+B7</f>
        <v>389</v>
      </c>
      <c r="C115">
        <v>110</v>
      </c>
      <c r="D115">
        <v>399</v>
      </c>
      <c r="E115">
        <v>271</v>
      </c>
      <c r="F115">
        <v>205</v>
      </c>
      <c r="G115" s="303">
        <v>495</v>
      </c>
    </row>
    <row r="116" spans="1:7" ht="12.75">
      <c r="A116" s="110" t="str">
        <f>'NORTH FORK'!A29</f>
        <v>Total CBCU</v>
      </c>
      <c r="B116" s="127">
        <f>(ROUND(SUM(B114:B115),-1))</f>
        <v>20150</v>
      </c>
      <c r="C116">
        <v>36780</v>
      </c>
      <c r="D116">
        <v>26800</v>
      </c>
      <c r="E116">
        <v>27940</v>
      </c>
      <c r="F116">
        <v>40100</v>
      </c>
      <c r="G116" s="303">
        <v>35780</v>
      </c>
    </row>
    <row r="117" spans="1:7" ht="12.75">
      <c r="A117" s="108" t="s">
        <v>78</v>
      </c>
      <c r="B117" s="127"/>
      <c r="G117" s="303"/>
    </row>
    <row r="118" spans="1:7" ht="12.75">
      <c r="A118" s="107" t="s">
        <v>1</v>
      </c>
      <c r="B118" s="127"/>
      <c r="G118" s="303"/>
    </row>
    <row r="119" spans="1:7" ht="12.75">
      <c r="A119" s="146" t="s">
        <v>354</v>
      </c>
      <c r="B119" s="147">
        <f>B58*(1-B23)</f>
        <v>0</v>
      </c>
      <c r="C119">
        <v>1072.473</v>
      </c>
      <c r="D119">
        <v>0</v>
      </c>
      <c r="E119">
        <v>0</v>
      </c>
      <c r="F119">
        <v>0</v>
      </c>
      <c r="G119" s="303">
        <v>0</v>
      </c>
    </row>
    <row r="120" spans="1:7" ht="12.75">
      <c r="A120" s="146" t="s">
        <v>349</v>
      </c>
      <c r="B120" s="127">
        <f>+B55*(1-B22)</f>
        <v>1619.628</v>
      </c>
      <c r="C120">
        <v>3514.82</v>
      </c>
      <c r="D120">
        <v>1868.3706</v>
      </c>
      <c r="E120">
        <v>1687.2414000000006</v>
      </c>
      <c r="F120">
        <v>0</v>
      </c>
      <c r="G120" s="303">
        <v>0</v>
      </c>
    </row>
    <row r="121" spans="1:7" ht="12.75">
      <c r="A121" s="146" t="s">
        <v>350</v>
      </c>
      <c r="B121" s="147">
        <f>+B54*(1-B21)</f>
        <v>184.696</v>
      </c>
      <c r="C121">
        <v>725.41</v>
      </c>
      <c r="D121">
        <v>0</v>
      </c>
      <c r="E121">
        <v>0</v>
      </c>
      <c r="F121">
        <v>0</v>
      </c>
      <c r="G121" s="303">
        <v>0</v>
      </c>
    </row>
    <row r="122" spans="1:7" ht="12.75">
      <c r="A122" s="146" t="s">
        <v>351</v>
      </c>
      <c r="B122" s="147">
        <f>+B53*(1-B20)</f>
        <v>4680.317000000001</v>
      </c>
      <c r="C122">
        <v>5494.32</v>
      </c>
      <c r="D122">
        <v>0</v>
      </c>
      <c r="E122">
        <v>0</v>
      </c>
      <c r="F122">
        <v>0</v>
      </c>
      <c r="G122" s="303">
        <v>0</v>
      </c>
    </row>
    <row r="123" spans="1:7" ht="12.75">
      <c r="A123" s="146" t="s">
        <v>352</v>
      </c>
      <c r="B123" s="147">
        <f>+B52*(1-B19)</f>
        <v>141.627</v>
      </c>
      <c r="C123">
        <v>1016.14</v>
      </c>
      <c r="D123">
        <v>0</v>
      </c>
      <c r="E123">
        <v>0</v>
      </c>
      <c r="F123">
        <v>0</v>
      </c>
      <c r="G123" s="303">
        <v>0</v>
      </c>
    </row>
    <row r="124" spans="1:7" ht="12.75">
      <c r="A124" s="146" t="str">
        <f>+A51</f>
        <v>Cambridge Canal Diversion</v>
      </c>
      <c r="B124" s="147">
        <f>+B51*(1-B18)</f>
        <v>8517.326000000001</v>
      </c>
      <c r="C124">
        <v>8982.68</v>
      </c>
      <c r="D124">
        <v>10442.015999999998</v>
      </c>
      <c r="E124">
        <v>9152.852000000003</v>
      </c>
      <c r="F124">
        <v>8812.732</v>
      </c>
      <c r="G124" s="303">
        <v>0</v>
      </c>
    </row>
    <row r="125" spans="1:7" ht="12.75">
      <c r="A125" s="146" t="str">
        <f>+A50</f>
        <v>Bartley Canal Diversion</v>
      </c>
      <c r="B125" s="147">
        <f>+B50*(1-B17)</f>
        <v>0</v>
      </c>
      <c r="C125">
        <v>0</v>
      </c>
      <c r="D125">
        <v>0</v>
      </c>
      <c r="E125">
        <v>0</v>
      </c>
      <c r="F125">
        <v>2553.28</v>
      </c>
      <c r="G125" s="303">
        <v>0</v>
      </c>
    </row>
    <row r="126" spans="1:7" ht="12.75">
      <c r="A126" s="146" t="s">
        <v>353</v>
      </c>
      <c r="B126" s="147">
        <f>+B70*(1-B13)</f>
        <v>0</v>
      </c>
      <c r="C126">
        <v>0</v>
      </c>
      <c r="D126">
        <v>0</v>
      </c>
      <c r="E126">
        <v>0</v>
      </c>
      <c r="F126">
        <v>0</v>
      </c>
      <c r="G126" s="303">
        <v>0</v>
      </c>
    </row>
    <row r="127" spans="1:7" ht="12.75">
      <c r="A127" s="146" t="str">
        <f>A71&amp;" "&amp;"(90%)"</f>
        <v>Red Willow Canal Diversions (90%)</v>
      </c>
      <c r="B127" s="147">
        <f>+B71*0.9*(1-B16)</f>
        <v>1290.0870000000002</v>
      </c>
      <c r="C127">
        <v>0</v>
      </c>
      <c r="D127">
        <v>0</v>
      </c>
      <c r="E127">
        <v>0</v>
      </c>
      <c r="F127">
        <v>0</v>
      </c>
      <c r="G127" s="303">
        <v>0</v>
      </c>
    </row>
    <row r="128" spans="1:7" ht="12.75">
      <c r="A128" s="136" t="str">
        <f>'NORTH FORK'!A23</f>
        <v>SW CBCU - Irrigation - Non Federal Canals</v>
      </c>
      <c r="B128" s="127">
        <f>B81*CanalCUPercent</f>
        <v>409.2</v>
      </c>
      <c r="C128">
        <v>2231.4</v>
      </c>
      <c r="D128">
        <v>1839.6</v>
      </c>
      <c r="E128">
        <v>996.42</v>
      </c>
      <c r="F128">
        <v>1476</v>
      </c>
      <c r="G128" s="303">
        <v>501</v>
      </c>
    </row>
    <row r="129" spans="1:7" ht="12.75">
      <c r="A129" s="136" t="str">
        <f>'NORTH FORK'!A24</f>
        <v>SW CBCU - Irrigation - Small Pumps</v>
      </c>
      <c r="B129" s="127">
        <f>B82*PumperCUPercent</f>
        <v>789.75</v>
      </c>
      <c r="C129">
        <v>1050.75</v>
      </c>
      <c r="D129">
        <v>1448.25</v>
      </c>
      <c r="E129">
        <v>1438.5</v>
      </c>
      <c r="F129">
        <v>442.5</v>
      </c>
      <c r="G129" s="303">
        <v>506.25</v>
      </c>
    </row>
    <row r="130" spans="1:7" ht="12.75">
      <c r="A130" s="136" t="str">
        <f>'NORTH FORK'!A25</f>
        <v>SW CBCU - M&amp;I</v>
      </c>
      <c r="B130" s="127">
        <f>B83*MI_CUPercent</f>
        <v>0</v>
      </c>
      <c r="C130">
        <v>0</v>
      </c>
      <c r="D130">
        <v>0</v>
      </c>
      <c r="E130">
        <v>0</v>
      </c>
      <c r="F130">
        <v>0</v>
      </c>
      <c r="G130" s="303">
        <v>0</v>
      </c>
    </row>
    <row r="131" spans="1:7" ht="12.75">
      <c r="A131" s="144" t="str">
        <f>A45</f>
        <v>Harry Strunk Lake Evaporation</v>
      </c>
      <c r="B131" s="127">
        <f>+B45</f>
        <v>1591.4419999999998</v>
      </c>
      <c r="C131">
        <v>3755</v>
      </c>
      <c r="D131">
        <v>2058.9</v>
      </c>
      <c r="E131">
        <v>2771.705791666667</v>
      </c>
      <c r="F131">
        <v>3034.878083333333</v>
      </c>
      <c r="G131" s="303">
        <v>1548.8</v>
      </c>
    </row>
    <row r="132" spans="1:7" ht="12.75">
      <c r="A132" s="144" t="str">
        <f>A42</f>
        <v>Swanson Lake Evaporation</v>
      </c>
      <c r="B132" s="127">
        <f>+B42</f>
        <v>5526.676208333334</v>
      </c>
      <c r="C132">
        <v>6086</v>
      </c>
      <c r="D132">
        <v>2588.2</v>
      </c>
      <c r="E132">
        <v>5637.999291666667</v>
      </c>
      <c r="F132">
        <v>10082</v>
      </c>
      <c r="G132" s="303">
        <v>6443.9</v>
      </c>
    </row>
    <row r="133" spans="1:7" ht="12.75">
      <c r="A133" s="109" t="str">
        <f>A44&amp;" "&amp;"(90%)"</f>
        <v>Hugh Butler Lake Evaporation (90%)</v>
      </c>
      <c r="B133" s="127">
        <f>+B44*0.9</f>
        <v>1082.1590250000002</v>
      </c>
      <c r="C133">
        <v>2139.3</v>
      </c>
      <c r="D133">
        <v>1822.95</v>
      </c>
      <c r="E133">
        <v>2007.235275</v>
      </c>
      <c r="F133">
        <v>2244.2863499999994</v>
      </c>
      <c r="G133" s="303">
        <v>2131.83</v>
      </c>
    </row>
    <row r="134" spans="1:7" ht="12.75">
      <c r="A134" s="136" t="s">
        <v>485</v>
      </c>
      <c r="B134" s="127">
        <f>+B96</f>
        <v>5388.2876286337</v>
      </c>
      <c r="C134">
        <v>12200.851136851137</v>
      </c>
      <c r="D134">
        <v>8414.901055766108</v>
      </c>
      <c r="E134">
        <v>8755.755543804144</v>
      </c>
      <c r="F134">
        <v>0</v>
      </c>
      <c r="G134" s="303">
        <v>7203.49</v>
      </c>
    </row>
    <row r="135" spans="1:7" ht="12.75">
      <c r="A135" s="108" t="s">
        <v>253</v>
      </c>
      <c r="B135" s="127">
        <f>B84+B85</f>
        <v>1434</v>
      </c>
      <c r="C135">
        <v>0</v>
      </c>
      <c r="D135">
        <v>340</v>
      </c>
      <c r="E135">
        <v>2028</v>
      </c>
      <c r="F135">
        <v>830</v>
      </c>
      <c r="G135" s="303">
        <v>1688</v>
      </c>
    </row>
    <row r="136" spans="1:7" ht="12.75">
      <c r="A136" s="108" t="str">
        <f>'NORTH FORK'!A27</f>
        <v>SW CBCU</v>
      </c>
      <c r="B136" s="127">
        <f>SUM(B119:B135)</f>
        <v>32655.195861967033</v>
      </c>
      <c r="C136">
        <v>48269.144136851144</v>
      </c>
      <c r="D136">
        <v>30823.18765576611</v>
      </c>
      <c r="E136">
        <v>34475.70930213748</v>
      </c>
      <c r="F136">
        <v>29475.67643333333</v>
      </c>
      <c r="G136" s="303">
        <v>20023.27</v>
      </c>
    </row>
    <row r="137" spans="1:7" ht="12.75">
      <c r="A137" s="108" t="str">
        <f>'NORTH FORK'!A28</f>
        <v>GW CBCU</v>
      </c>
      <c r="B137" s="127">
        <f>+B10</f>
        <v>83207</v>
      </c>
      <c r="C137">
        <v>76882</v>
      </c>
      <c r="D137">
        <v>80565</v>
      </c>
      <c r="E137">
        <v>84056</v>
      </c>
      <c r="F137">
        <v>76774</v>
      </c>
      <c r="G137" s="303">
        <v>88880</v>
      </c>
    </row>
    <row r="138" spans="1:7" ht="12.75">
      <c r="A138" s="108" t="str">
        <f>'NORTH FORK'!A29</f>
        <v>Total CBCU</v>
      </c>
      <c r="B138" s="127">
        <f>(ROUND(SUM(B136:B137),-1))</f>
        <v>115860</v>
      </c>
      <c r="C138">
        <v>125150</v>
      </c>
      <c r="D138">
        <v>111390</v>
      </c>
      <c r="E138">
        <v>118530</v>
      </c>
      <c r="F138">
        <v>106250</v>
      </c>
      <c r="G138" s="303">
        <v>108900</v>
      </c>
    </row>
    <row r="139" spans="1:7" ht="12.75">
      <c r="A139" s="111" t="s">
        <v>78</v>
      </c>
      <c r="B139" s="127"/>
      <c r="G139" s="303"/>
    </row>
    <row r="140" spans="1:7" ht="12.75">
      <c r="A140" s="112" t="s">
        <v>176</v>
      </c>
      <c r="B140" s="127"/>
      <c r="G140" s="303"/>
    </row>
    <row r="141" spans="1:7" ht="12.75">
      <c r="A141" s="111" t="str">
        <f>'NORTH FORK'!A42</f>
        <v>Total SW CBCU</v>
      </c>
      <c r="B141" s="127">
        <f>+B114+B136</f>
        <v>52420.18489800995</v>
      </c>
      <c r="C141">
        <v>84941.81018221649</v>
      </c>
      <c r="D141">
        <v>57226.18037924773</v>
      </c>
      <c r="E141">
        <v>62141.19974767969</v>
      </c>
      <c r="F141">
        <v>69372.58768144052</v>
      </c>
      <c r="G141" s="303">
        <v>55306.927955311825</v>
      </c>
    </row>
    <row r="142" spans="1:7" ht="12.75">
      <c r="A142" s="111" t="str">
        <f>'NORTH FORK'!A43</f>
        <v>Total GW CBCU</v>
      </c>
      <c r="B142" s="127">
        <f>+B100+B115+B137</f>
        <v>81417</v>
      </c>
      <c r="C142">
        <v>77124</v>
      </c>
      <c r="D142">
        <v>79695</v>
      </c>
      <c r="E142">
        <v>82373</v>
      </c>
      <c r="F142">
        <v>73970</v>
      </c>
      <c r="G142" s="303">
        <v>87342</v>
      </c>
    </row>
    <row r="143" spans="1:7" ht="12.75">
      <c r="A143" s="111" t="str">
        <f>'NORTH FORK'!A44</f>
        <v>Total Basin CBCU</v>
      </c>
      <c r="B143" s="127">
        <f>(ROUND(SUM(B141:B142),-1))</f>
        <v>133840</v>
      </c>
      <c r="C143">
        <v>162070</v>
      </c>
      <c r="D143">
        <v>136920</v>
      </c>
      <c r="E143">
        <v>144510</v>
      </c>
      <c r="F143">
        <v>143340</v>
      </c>
      <c r="G143" s="303">
        <v>142650</v>
      </c>
    </row>
    <row r="144" spans="1:7" ht="12.75">
      <c r="A144" s="111" t="s">
        <v>78</v>
      </c>
      <c r="B144" s="127"/>
      <c r="G144" s="303"/>
    </row>
    <row r="145" spans="1:7" ht="15.75">
      <c r="A145" s="113" t="s">
        <v>10</v>
      </c>
      <c r="B145" s="129"/>
      <c r="G145" s="303"/>
    </row>
    <row r="146" spans="1:7" ht="12.75">
      <c r="A146" s="115" t="str">
        <f>A29</f>
        <v>Republican River Near Hardy</v>
      </c>
      <c r="B146" s="129">
        <f>B29</f>
        <v>263181</v>
      </c>
      <c r="C146">
        <v>52394</v>
      </c>
      <c r="D146">
        <v>41964</v>
      </c>
      <c r="E146">
        <v>16980</v>
      </c>
      <c r="F146">
        <v>14089</v>
      </c>
      <c r="G146" s="303">
        <v>99384</v>
      </c>
    </row>
    <row r="147" spans="1:7" ht="12.75">
      <c r="A147" s="115" t="str">
        <f aca="true" t="shared" si="0" ref="A147:A157">A30</f>
        <v>North Fork Republican River At Colorado-Nebraska State Line</v>
      </c>
      <c r="B147" s="129">
        <f aca="true" t="shared" si="1" ref="B147:B155">B30</f>
        <v>21636</v>
      </c>
      <c r="C147">
        <v>17700</v>
      </c>
      <c r="D147">
        <v>19759</v>
      </c>
      <c r="E147">
        <v>21060</v>
      </c>
      <c r="F147">
        <v>17608</v>
      </c>
      <c r="G147" s="303">
        <v>20565.5</v>
      </c>
    </row>
    <row r="148" spans="1:7" ht="12.75">
      <c r="A148" s="115" t="str">
        <f t="shared" si="0"/>
        <v>Arikaree River At Haigler</v>
      </c>
      <c r="B148" s="129">
        <f t="shared" si="1"/>
        <v>1567.8</v>
      </c>
      <c r="C148">
        <v>1060</v>
      </c>
      <c r="D148">
        <v>341</v>
      </c>
      <c r="E148">
        <v>1151</v>
      </c>
      <c r="F148">
        <v>404</v>
      </c>
      <c r="G148" s="303">
        <v>1330.51</v>
      </c>
    </row>
    <row r="149" spans="1:7" ht="12.75">
      <c r="A149" s="115" t="str">
        <f t="shared" si="0"/>
        <v>Buffalo Creek Near Haigler</v>
      </c>
      <c r="B149" s="129">
        <f t="shared" si="1"/>
        <v>2188</v>
      </c>
      <c r="C149">
        <v>2090</v>
      </c>
      <c r="D149">
        <v>2276</v>
      </c>
      <c r="E149">
        <v>2227</v>
      </c>
      <c r="F149">
        <v>1731</v>
      </c>
      <c r="G149" s="303">
        <v>2094.93</v>
      </c>
    </row>
    <row r="150" spans="1:7" ht="12.75">
      <c r="A150" s="115" t="str">
        <f t="shared" si="0"/>
        <v>Rock Creek At Parks</v>
      </c>
      <c r="B150" s="129">
        <f t="shared" si="1"/>
        <v>4852</v>
      </c>
      <c r="C150">
        <v>4710</v>
      </c>
      <c r="D150">
        <v>5419</v>
      </c>
      <c r="E150">
        <v>5466</v>
      </c>
      <c r="F150">
        <v>5355</v>
      </c>
      <c r="G150" s="303">
        <v>5389.14</v>
      </c>
    </row>
    <row r="151" spans="1:7" ht="12.75">
      <c r="A151" s="115" t="str">
        <f t="shared" si="0"/>
        <v>South Fork Republican River Near Benkelman</v>
      </c>
      <c r="B151" s="129">
        <f t="shared" si="1"/>
        <v>1424</v>
      </c>
      <c r="C151">
        <v>905.35872</v>
      </c>
      <c r="D151">
        <v>0</v>
      </c>
      <c r="E151">
        <v>0</v>
      </c>
      <c r="F151">
        <v>0</v>
      </c>
      <c r="G151" s="303">
        <v>673.945</v>
      </c>
    </row>
    <row r="152" spans="1:7" ht="12.75">
      <c r="A152" s="115" t="str">
        <f t="shared" si="0"/>
        <v>Frenchman Creek At Culbertson</v>
      </c>
      <c r="B152" s="129">
        <f t="shared" si="1"/>
        <v>33220</v>
      </c>
      <c r="C152">
        <v>13360</v>
      </c>
      <c r="D152">
        <v>19926</v>
      </c>
      <c r="E152">
        <v>23235</v>
      </c>
      <c r="F152">
        <v>22606</v>
      </c>
      <c r="G152" s="303">
        <v>44675.7</v>
      </c>
    </row>
    <row r="153" spans="1:7" ht="12.75">
      <c r="A153" s="115" t="str">
        <f t="shared" si="0"/>
        <v>Driftwood Creek Near McCook</v>
      </c>
      <c r="B153" s="129">
        <f t="shared" si="1"/>
        <v>2539</v>
      </c>
      <c r="C153">
        <v>1100</v>
      </c>
      <c r="D153">
        <v>1201</v>
      </c>
      <c r="E153">
        <v>1911</v>
      </c>
      <c r="F153">
        <v>1714</v>
      </c>
      <c r="G153" s="303">
        <v>4311.31</v>
      </c>
    </row>
    <row r="154" spans="1:7" ht="12.75">
      <c r="A154" s="115" t="str">
        <f t="shared" si="0"/>
        <v>Red Willow Creek Near Red Willow</v>
      </c>
      <c r="B154" s="129">
        <f t="shared" si="1"/>
        <v>12419</v>
      </c>
      <c r="C154">
        <v>3970</v>
      </c>
      <c r="D154">
        <v>3555</v>
      </c>
      <c r="E154">
        <v>3791</v>
      </c>
      <c r="F154">
        <v>10018</v>
      </c>
      <c r="G154" s="303">
        <v>6618.43</v>
      </c>
    </row>
    <row r="155" spans="1:7" ht="12.75">
      <c r="A155" s="115" t="str">
        <f t="shared" si="0"/>
        <v>Medicine Creek Below Harry Strunk</v>
      </c>
      <c r="B155" s="129">
        <f t="shared" si="1"/>
        <v>65915</v>
      </c>
      <c r="C155">
        <v>19850</v>
      </c>
      <c r="D155">
        <v>23300</v>
      </c>
      <c r="E155">
        <v>19992</v>
      </c>
      <c r="F155">
        <v>22648</v>
      </c>
      <c r="G155" s="303">
        <v>50356</v>
      </c>
    </row>
    <row r="156" spans="1:7" ht="12.75">
      <c r="A156" s="115" t="str">
        <f t="shared" si="0"/>
        <v>Sappa Creek Near Stamford</v>
      </c>
      <c r="B156" s="129">
        <f>B39</f>
        <v>7751</v>
      </c>
      <c r="C156">
        <v>179.11552</v>
      </c>
      <c r="D156">
        <v>84</v>
      </c>
      <c r="E156">
        <v>262</v>
      </c>
      <c r="F156">
        <v>0</v>
      </c>
      <c r="G156" s="303">
        <v>4451.06</v>
      </c>
    </row>
    <row r="157" spans="1:7" ht="12.75">
      <c r="A157" s="115" t="str">
        <f t="shared" si="0"/>
        <v>Prairie Dog Creek Near Woodruff</v>
      </c>
      <c r="B157" s="129">
        <f>B40</f>
        <v>7506</v>
      </c>
      <c r="C157">
        <v>1087.4502400000001</v>
      </c>
      <c r="D157">
        <v>147</v>
      </c>
      <c r="E157">
        <v>3436</v>
      </c>
      <c r="F157">
        <v>153</v>
      </c>
      <c r="G157" s="303">
        <v>5458.3</v>
      </c>
    </row>
    <row r="158" spans="1:7" ht="12.75">
      <c r="A158" s="148"/>
      <c r="B158" s="149"/>
      <c r="G158" s="303"/>
    </row>
    <row r="159" spans="1:7" ht="12.75">
      <c r="A159" s="114" t="str">
        <f>'NORTH FORK'!A49</f>
        <v>Colorado CBCU</v>
      </c>
      <c r="B159" s="129">
        <f>+B101</f>
        <v>-2180</v>
      </c>
      <c r="C159">
        <v>130</v>
      </c>
      <c r="D159">
        <v>-1270</v>
      </c>
      <c r="E159">
        <v>-1950</v>
      </c>
      <c r="F159">
        <v>-3010</v>
      </c>
      <c r="G159" s="303">
        <v>-2030</v>
      </c>
    </row>
    <row r="160" spans="1:7" ht="12.75">
      <c r="A160" s="114" t="str">
        <f>'NORTH FORK'!A50&amp;" "&amp;"Above Stateline"</f>
        <v>Kansas CBCU Above Stateline</v>
      </c>
      <c r="B160" s="129">
        <f>B90+B91+B104+SUM(B110:B113)</f>
        <v>8461.851954699632</v>
      </c>
      <c r="C160">
        <v>14593.408863148863</v>
      </c>
      <c r="D160">
        <v>10341.978944233892</v>
      </c>
      <c r="E160">
        <v>11230.866081195858</v>
      </c>
      <c r="F160">
        <v>18702.241166666667</v>
      </c>
      <c r="G160" s="303">
        <v>9718.71</v>
      </c>
    </row>
    <row r="161" spans="1:7" ht="12.75">
      <c r="A161" s="114" t="str">
        <f>'NORTH FORK'!A51</f>
        <v>Nebraska CBCU</v>
      </c>
      <c r="B161" s="129">
        <f>+B138</f>
        <v>115860</v>
      </c>
      <c r="C161">
        <v>125150</v>
      </c>
      <c r="D161">
        <v>111390</v>
      </c>
      <c r="E161">
        <v>118530</v>
      </c>
      <c r="F161">
        <v>106250</v>
      </c>
      <c r="G161" s="303">
        <v>108900</v>
      </c>
    </row>
    <row r="162" spans="1:7" ht="12.75">
      <c r="A162" s="114"/>
      <c r="B162" s="129"/>
      <c r="G162" s="303"/>
    </row>
    <row r="163" spans="1:7" ht="12.75">
      <c r="A163" s="150" t="s">
        <v>212</v>
      </c>
      <c r="B163" s="129">
        <f>+B127</f>
        <v>1290.0870000000002</v>
      </c>
      <c r="C163">
        <v>0</v>
      </c>
      <c r="D163">
        <v>0</v>
      </c>
      <c r="E163">
        <v>0</v>
      </c>
      <c r="F163">
        <v>0</v>
      </c>
      <c r="G163" s="303">
        <v>0</v>
      </c>
    </row>
    <row r="164" spans="1:7" ht="12.75">
      <c r="A164" s="150" t="s">
        <v>200</v>
      </c>
      <c r="B164" s="129">
        <f>+B133</f>
        <v>1082.1590250000002</v>
      </c>
      <c r="C164">
        <v>2139.3</v>
      </c>
      <c r="D164">
        <v>1822.95</v>
      </c>
      <c r="E164">
        <v>2007.235275</v>
      </c>
      <c r="F164">
        <v>2244.2863499999994</v>
      </c>
      <c r="G164" s="303">
        <v>2131.83</v>
      </c>
    </row>
    <row r="165" spans="1:7" ht="12.75">
      <c r="A165" s="150" t="s">
        <v>129</v>
      </c>
      <c r="B165" s="129">
        <f>+B131</f>
        <v>1591.4419999999998</v>
      </c>
      <c r="C165">
        <v>3755</v>
      </c>
      <c r="D165">
        <v>2058.9</v>
      </c>
      <c r="E165">
        <v>2771.705791666667</v>
      </c>
      <c r="F165">
        <v>3034.878083333333</v>
      </c>
      <c r="G165" s="303">
        <v>1548.8</v>
      </c>
    </row>
    <row r="166" spans="1:7" ht="12.75">
      <c r="A166" s="114"/>
      <c r="B166" s="129"/>
      <c r="G166" s="303"/>
    </row>
    <row r="167" spans="1:7" ht="12.75">
      <c r="A167" s="129" t="s">
        <v>357</v>
      </c>
      <c r="B167" s="129">
        <f>'MEDICINE CREEK'!B52</f>
        <v>35</v>
      </c>
      <c r="C167">
        <v>79.5</v>
      </c>
      <c r="D167">
        <v>46.725</v>
      </c>
      <c r="E167">
        <v>65.4</v>
      </c>
      <c r="F167">
        <v>70.5</v>
      </c>
      <c r="G167" s="303">
        <v>24.75</v>
      </c>
    </row>
    <row r="168" spans="1:7" ht="12.75">
      <c r="A168" s="129" t="s">
        <v>358</v>
      </c>
      <c r="B168" s="129">
        <f>BEAVER!B63</f>
        <v>0</v>
      </c>
      <c r="C168">
        <v>0</v>
      </c>
      <c r="D168">
        <v>0</v>
      </c>
      <c r="E168">
        <v>0</v>
      </c>
      <c r="F168">
        <v>0</v>
      </c>
      <c r="G168" s="303">
        <v>0</v>
      </c>
    </row>
    <row r="169" spans="1:7" ht="12.75">
      <c r="A169" s="129" t="s">
        <v>360</v>
      </c>
      <c r="B169" s="129">
        <f>SAPPA!B56</f>
        <v>2</v>
      </c>
      <c r="C169">
        <v>14.85</v>
      </c>
      <c r="D169">
        <v>7.3</v>
      </c>
      <c r="E169">
        <v>5.2</v>
      </c>
      <c r="F169">
        <v>1.01</v>
      </c>
      <c r="G169" s="303">
        <v>3</v>
      </c>
    </row>
    <row r="170" spans="1:7" ht="12.75">
      <c r="A170" s="129" t="s">
        <v>359</v>
      </c>
      <c r="B170" s="129">
        <f>'PRAIRIE DOG'!B54</f>
        <v>86.25</v>
      </c>
      <c r="C170">
        <v>44.4</v>
      </c>
      <c r="D170">
        <v>50.625</v>
      </c>
      <c r="E170">
        <v>36.95</v>
      </c>
      <c r="F170">
        <v>26.63</v>
      </c>
      <c r="G170" s="303">
        <v>76.25</v>
      </c>
    </row>
    <row r="171" spans="1:7" ht="12.75">
      <c r="A171" s="114"/>
      <c r="B171" s="129"/>
      <c r="G171" s="303"/>
    </row>
    <row r="172" spans="1:7" ht="12.75">
      <c r="A172" s="115" t="str">
        <f>+A47</f>
        <v>Harlan County Change In Storage</v>
      </c>
      <c r="B172" s="129">
        <f>+B47</f>
        <v>63900.00000000001</v>
      </c>
      <c r="C172">
        <v>-47110</v>
      </c>
      <c r="D172">
        <v>-6200</v>
      </c>
      <c r="E172">
        <v>21000</v>
      </c>
      <c r="F172">
        <v>-11800</v>
      </c>
      <c r="G172" s="303">
        <v>139100</v>
      </c>
    </row>
    <row r="173" spans="1:7" ht="12.75">
      <c r="A173" s="115" t="str">
        <f>+A43</f>
        <v>Swanson Lake Change In Storage</v>
      </c>
      <c r="B173" s="129">
        <f>+B43</f>
        <v>6799.999999999997</v>
      </c>
      <c r="C173">
        <v>4735</v>
      </c>
      <c r="D173">
        <v>3900</v>
      </c>
      <c r="E173">
        <v>4600</v>
      </c>
      <c r="F173">
        <v>1200</v>
      </c>
      <c r="G173" s="303">
        <v>8900</v>
      </c>
    </row>
    <row r="174" spans="1:7" ht="12.75">
      <c r="A174" s="150"/>
      <c r="B174" s="129"/>
      <c r="G174" s="303"/>
    </row>
    <row r="175" spans="1:7" ht="12.75">
      <c r="A175" s="151" t="s">
        <v>204</v>
      </c>
      <c r="B175" s="129">
        <f>+B74*(1-CanalCUPercent)</f>
        <v>1998</v>
      </c>
      <c r="C175">
        <v>1986</v>
      </c>
      <c r="D175">
        <v>1492.8</v>
      </c>
      <c r="E175">
        <v>1898</v>
      </c>
      <c r="F175">
        <v>1767.2</v>
      </c>
      <c r="G175" s="303">
        <v>1808.8000000000002</v>
      </c>
    </row>
    <row r="176" spans="1:7" ht="12.75">
      <c r="A176" s="150" t="s">
        <v>202</v>
      </c>
      <c r="B176" s="129">
        <f>+B72*B14*0.17</f>
        <v>0</v>
      </c>
      <c r="C176">
        <v>761.7904000000002</v>
      </c>
      <c r="D176">
        <v>970.96282</v>
      </c>
      <c r="E176">
        <v>871.12454</v>
      </c>
      <c r="F176">
        <v>0</v>
      </c>
      <c r="G176" s="303">
        <v>0</v>
      </c>
    </row>
    <row r="177" spans="1:7" ht="12.75">
      <c r="A177" s="150" t="s">
        <v>203</v>
      </c>
      <c r="B177" s="129">
        <f>+B73*B15</f>
        <v>0</v>
      </c>
      <c r="C177">
        <v>0</v>
      </c>
      <c r="D177">
        <v>0</v>
      </c>
      <c r="E177">
        <v>0</v>
      </c>
      <c r="F177">
        <v>0</v>
      </c>
      <c r="G177" s="303">
        <v>0</v>
      </c>
    </row>
    <row r="178" spans="1:7" ht="12.75">
      <c r="A178" s="116" t="s">
        <v>205</v>
      </c>
      <c r="B178" s="129">
        <f>0.24*(B13*B70)</f>
        <v>0</v>
      </c>
      <c r="C178">
        <v>0</v>
      </c>
      <c r="D178">
        <v>0</v>
      </c>
      <c r="E178">
        <v>0</v>
      </c>
      <c r="F178">
        <v>0</v>
      </c>
      <c r="G178" s="303">
        <v>0</v>
      </c>
    </row>
    <row r="179" spans="1:7" ht="12.75">
      <c r="A179" s="150" t="s">
        <v>201</v>
      </c>
      <c r="B179" s="129">
        <f>+B71*B16*0.9</f>
        <v>2390.013</v>
      </c>
      <c r="C179">
        <v>0</v>
      </c>
      <c r="D179">
        <v>0</v>
      </c>
      <c r="E179">
        <v>0</v>
      </c>
      <c r="F179">
        <v>0</v>
      </c>
      <c r="G179" s="303">
        <v>0</v>
      </c>
    </row>
    <row r="180" spans="1:7" ht="12.75">
      <c r="A180" s="150"/>
      <c r="B180" s="129"/>
      <c r="G180" s="303"/>
    </row>
    <row r="181" spans="1:7" ht="12.75">
      <c r="A181" s="152" t="str">
        <f>+A61</f>
        <v>Courtland Canal At Kansas-Nebraska State Line</v>
      </c>
      <c r="B181" s="141">
        <f>+B61</f>
        <v>25297</v>
      </c>
      <c r="C181">
        <v>51952</v>
      </c>
      <c r="D181">
        <v>25440</v>
      </c>
      <c r="E181">
        <v>40086</v>
      </c>
      <c r="F181">
        <v>38472.587</v>
      </c>
      <c r="G181" s="303">
        <v>56136</v>
      </c>
    </row>
    <row r="182" spans="1:7" ht="12.75">
      <c r="A182" s="150" t="s">
        <v>161</v>
      </c>
      <c r="B182" s="141">
        <f>+B89</f>
        <v>379.455</v>
      </c>
      <c r="C182">
        <v>779.28</v>
      </c>
      <c r="D182">
        <v>381.6</v>
      </c>
      <c r="E182">
        <v>601.29</v>
      </c>
      <c r="F182">
        <v>577.088805</v>
      </c>
      <c r="G182" s="303">
        <v>842.04</v>
      </c>
    </row>
    <row r="183" spans="1:7" ht="12.75">
      <c r="A183" s="115"/>
      <c r="B183" s="129"/>
      <c r="G183" s="303"/>
    </row>
    <row r="184" spans="1:7" ht="12.75">
      <c r="A184" s="114" t="str">
        <f>'NORTH FORK'!A52</f>
        <v>Imported Water</v>
      </c>
      <c r="B184" s="129">
        <f>+B5</f>
        <v>15402</v>
      </c>
      <c r="C184">
        <v>337</v>
      </c>
      <c r="D184">
        <v>834</v>
      </c>
      <c r="E184">
        <v>2297</v>
      </c>
      <c r="F184">
        <v>2791</v>
      </c>
      <c r="G184" s="303">
        <v>11336</v>
      </c>
    </row>
    <row r="185" spans="1:7" ht="12.75">
      <c r="A185" s="114" t="str">
        <f>'NORTH FORK'!A53</f>
        <v>Virgin Water Supply</v>
      </c>
      <c r="B185" s="129">
        <f>B146-SUM(B147:B157)+B159+B160+B161-B163-B164-B165+SUM(B167:B170)+B172+B173-B175-B176-B177+B178-B179+B181-B182-B184</f>
        <v>296292.14592969965</v>
      </c>
      <c r="C185">
        <v>126212.86398314887</v>
      </c>
      <c r="D185">
        <v>102101.41612423389</v>
      </c>
      <c r="E185">
        <v>117607.0604745292</v>
      </c>
      <c r="F185">
        <v>71350.51492833333</v>
      </c>
      <c r="G185" s="303">
        <v>256620.41500000004</v>
      </c>
    </row>
    <row r="186" spans="1:7" ht="12.75">
      <c r="A186" s="114" t="str">
        <f>'NORTH FORK'!A54</f>
        <v>Adjustment For Flood Flows</v>
      </c>
      <c r="B186" s="129">
        <f>B86</f>
        <v>0</v>
      </c>
      <c r="C186">
        <v>0</v>
      </c>
      <c r="D186">
        <v>0</v>
      </c>
      <c r="E186">
        <v>0</v>
      </c>
      <c r="F186">
        <v>0</v>
      </c>
      <c r="G186" s="303">
        <v>0</v>
      </c>
    </row>
    <row r="187" spans="1:7" ht="12.75">
      <c r="A187" s="114" t="str">
        <f>'NORTH FORK'!A55</f>
        <v>Computed Water Supply</v>
      </c>
      <c r="B187" s="129">
        <f>+ROUND(B185-B186-SUM(B172:B173),-1)</f>
        <v>225590</v>
      </c>
      <c r="C187">
        <v>168590</v>
      </c>
      <c r="D187">
        <v>104400</v>
      </c>
      <c r="E187">
        <v>92010</v>
      </c>
      <c r="F187">
        <v>81950</v>
      </c>
      <c r="G187" s="303">
        <v>108620</v>
      </c>
    </row>
    <row r="188" spans="1:7" ht="12.75">
      <c r="A188" s="116" t="s">
        <v>78</v>
      </c>
      <c r="B188" s="129"/>
      <c r="G188" s="303"/>
    </row>
    <row r="189" spans="1:7" ht="15.75">
      <c r="A189" s="11" t="s">
        <v>12</v>
      </c>
      <c r="B189" s="132"/>
      <c r="G189" s="303"/>
    </row>
    <row r="190" spans="1:7" ht="12.75">
      <c r="A190" s="2" t="str">
        <f>'NORTH FORK'!A58</f>
        <v>Colorado Percent Of Allocation</v>
      </c>
      <c r="B190" s="133">
        <f>'T2'!$D17</f>
        <v>0</v>
      </c>
      <c r="C190">
        <v>0</v>
      </c>
      <c r="D190">
        <v>0</v>
      </c>
      <c r="E190">
        <v>0</v>
      </c>
      <c r="F190">
        <v>0</v>
      </c>
      <c r="G190" s="303">
        <v>0</v>
      </c>
    </row>
    <row r="191" spans="1:7" ht="12.75">
      <c r="A191" s="2" t="str">
        <f>'NORTH FORK'!A59</f>
        <v>Colorado Allocation</v>
      </c>
      <c r="B191" s="29">
        <f>ROUND(B187*B190,-1)</f>
        <v>0</v>
      </c>
      <c r="C191">
        <v>0</v>
      </c>
      <c r="D191">
        <v>0</v>
      </c>
      <c r="E191">
        <v>0</v>
      </c>
      <c r="F191">
        <v>0</v>
      </c>
      <c r="G191" s="303">
        <v>0</v>
      </c>
    </row>
    <row r="192" spans="1:7" ht="12.75">
      <c r="A192" s="2" t="str">
        <f>'NORTH FORK'!A60</f>
        <v>Kansas Percent Of Allocation</v>
      </c>
      <c r="B192" s="72">
        <f>'T2'!$F17</f>
        <v>0.511</v>
      </c>
      <c r="C192">
        <v>0.511</v>
      </c>
      <c r="D192">
        <v>0.511</v>
      </c>
      <c r="E192">
        <v>0.511</v>
      </c>
      <c r="F192">
        <v>0.511</v>
      </c>
      <c r="G192" s="303">
        <v>0.511</v>
      </c>
    </row>
    <row r="193" spans="1:7" ht="12.75">
      <c r="A193" s="2" t="str">
        <f>'NORTH FORK'!A61</f>
        <v>Kansas Allocation</v>
      </c>
      <c r="B193" s="29">
        <f>ROUND(B187*B192,-1)</f>
        <v>115280</v>
      </c>
      <c r="C193">
        <v>86150</v>
      </c>
      <c r="D193">
        <v>53350</v>
      </c>
      <c r="E193">
        <v>47020</v>
      </c>
      <c r="F193">
        <v>41880</v>
      </c>
      <c r="G193" s="303">
        <v>55500</v>
      </c>
    </row>
    <row r="194" spans="1:7" ht="12.75">
      <c r="A194" s="2" t="str">
        <f>'NORTH FORK'!A62</f>
        <v>Nebraska Percent Of Allocation</v>
      </c>
      <c r="B194" s="72">
        <f>'T2'!$H17</f>
        <v>0.489</v>
      </c>
      <c r="C194">
        <v>0.489</v>
      </c>
      <c r="D194">
        <v>0.489</v>
      </c>
      <c r="E194">
        <v>0.489</v>
      </c>
      <c r="F194">
        <v>0.489</v>
      </c>
      <c r="G194" s="303">
        <v>0.489</v>
      </c>
    </row>
    <row r="195" spans="1:7" ht="12.75">
      <c r="A195" s="2" t="str">
        <f>'NORTH FORK'!A63</f>
        <v>Nebraska Allocation</v>
      </c>
      <c r="B195" s="29">
        <f>ROUND(B187*B194,-1)</f>
        <v>110310</v>
      </c>
      <c r="C195">
        <v>82440</v>
      </c>
      <c r="D195">
        <v>51050</v>
      </c>
      <c r="E195">
        <v>44990</v>
      </c>
      <c r="F195">
        <v>40070</v>
      </c>
      <c r="G195" s="303">
        <v>53120</v>
      </c>
    </row>
    <row r="196" spans="1:7" ht="12.75">
      <c r="A196" s="2" t="str">
        <f>'NORTH FORK'!A64</f>
        <v>Total Basin Allocation</v>
      </c>
      <c r="B196" s="29">
        <f>+B191+B193+B195</f>
        <v>225590</v>
      </c>
      <c r="C196">
        <v>168590</v>
      </c>
      <c r="D196">
        <v>104400</v>
      </c>
      <c r="E196">
        <v>92010</v>
      </c>
      <c r="F196">
        <v>81950</v>
      </c>
      <c r="G196" s="303">
        <v>108620</v>
      </c>
    </row>
    <row r="197" spans="1:7" ht="12.75">
      <c r="A197" s="2" t="str">
        <f>'NORTH FORK'!A65</f>
        <v>Percent Of Supply Not Allocated</v>
      </c>
      <c r="B197" s="15">
        <f>'T2'!$J17</f>
        <v>0</v>
      </c>
      <c r="C197">
        <v>0</v>
      </c>
      <c r="D197">
        <v>0</v>
      </c>
      <c r="E197">
        <v>0</v>
      </c>
      <c r="F197">
        <v>0</v>
      </c>
      <c r="G197" s="303">
        <v>0</v>
      </c>
    </row>
    <row r="198" spans="1:7" ht="12.75">
      <c r="A198" s="2" t="str">
        <f>'NORTH FORK'!A66</f>
        <v>Quantity Of Unallocated Supply</v>
      </c>
      <c r="B198" s="4">
        <f>+B187-B191-B193-B195</f>
        <v>0</v>
      </c>
      <c r="C198">
        <v>0</v>
      </c>
      <c r="D198">
        <v>0</v>
      </c>
      <c r="E198">
        <v>0</v>
      </c>
      <c r="F198">
        <v>0</v>
      </c>
      <c r="G198" s="303">
        <v>0</v>
      </c>
    </row>
  </sheetData>
  <sheetProtection/>
  <printOptions headings="1"/>
  <pageMargins left="0.75" right="0.75" top="0.75" bottom="0.5" header="0.25" footer="0.5"/>
  <pageSetup fitToHeight="4" fitToWidth="1" horizontalDpi="600" verticalDpi="600" orientation="portrait" r:id="rId1"/>
  <headerFooter alignWithMargins="0">
    <oddHeader>&amp;LRRCA
Compact Accounting&amp;C&amp;A&amp;RPage &amp;P of &amp;N</oddHeader>
  </headerFooter>
  <rowBreaks count="3" manualBreakCount="3">
    <brk id="48" max="3" man="1"/>
    <brk id="97" max="3" man="1"/>
    <brk id="138" max="3" man="1"/>
  </rowBreaks>
</worksheet>
</file>

<file path=xl/worksheets/sheet17.xml><?xml version="1.0" encoding="utf-8"?>
<worksheet xmlns="http://schemas.openxmlformats.org/spreadsheetml/2006/main" xmlns:r="http://schemas.openxmlformats.org/officeDocument/2006/relationships">
  <sheetPr>
    <pageSetUpPr fitToPage="1"/>
  </sheetPr>
  <dimension ref="A1:AJ157"/>
  <sheetViews>
    <sheetView zoomScalePageLayoutView="0" workbookViewId="0" topLeftCell="A1">
      <pane ySplit="19" topLeftCell="A20" activePane="bottomLeft" state="frozen"/>
      <selection pane="topLeft" activeCell="A1" sqref="A1"/>
      <selection pane="bottomLeft" activeCell="B14" sqref="B14"/>
    </sheetView>
  </sheetViews>
  <sheetFormatPr defaultColWidth="9.140625" defaultRowHeight="12.75"/>
  <cols>
    <col min="1" max="1" width="20.00390625" style="0" customWidth="1"/>
    <col min="2" max="5" width="11.7109375" style="0" customWidth="1"/>
    <col min="6" max="6" width="12.28125" style="0" bestFit="1" customWidth="1"/>
    <col min="7" max="7" width="12.8515625" style="0" bestFit="1" customWidth="1"/>
    <col min="8" max="10" width="11.7109375" style="0" customWidth="1"/>
  </cols>
  <sheetData>
    <row r="1" spans="1:36" ht="12.75">
      <c r="A1" s="434" t="s">
        <v>9</v>
      </c>
      <c r="B1" s="434"/>
      <c r="C1" s="434"/>
      <c r="D1" s="434"/>
      <c r="E1" s="434"/>
      <c r="F1" s="434"/>
      <c r="G1" s="434"/>
      <c r="H1" s="434"/>
      <c r="I1" s="434"/>
      <c r="J1" s="434"/>
      <c r="L1" s="17"/>
      <c r="M1" s="17"/>
      <c r="N1" s="17"/>
      <c r="O1" s="17"/>
      <c r="P1" s="17"/>
      <c r="Q1" s="17"/>
      <c r="R1" s="17"/>
      <c r="S1" s="17"/>
      <c r="T1" s="17"/>
      <c r="U1" s="17"/>
      <c r="V1" s="17"/>
      <c r="W1" s="17"/>
      <c r="X1" s="17"/>
      <c r="Y1" s="17"/>
      <c r="Z1" s="17"/>
      <c r="AA1" s="17"/>
      <c r="AB1" s="17"/>
      <c r="AC1" s="17"/>
      <c r="AD1" s="17"/>
      <c r="AE1" s="17"/>
      <c r="AF1" s="17"/>
      <c r="AG1" s="17"/>
      <c r="AH1" s="17"/>
      <c r="AI1" s="17"/>
      <c r="AJ1" s="17"/>
    </row>
    <row r="2" spans="1:36" ht="12.75">
      <c r="A2" s="28">
        <f>INPUT!C1</f>
        <v>2008</v>
      </c>
      <c r="B2" s="435" t="s">
        <v>10</v>
      </c>
      <c r="C2" s="435" t="s">
        <v>11</v>
      </c>
      <c r="D2" s="437" t="s">
        <v>12</v>
      </c>
      <c r="E2" s="437"/>
      <c r="F2" s="437"/>
      <c r="G2" s="437"/>
      <c r="H2" s="437" t="s">
        <v>3</v>
      </c>
      <c r="I2" s="437"/>
      <c r="J2" s="437"/>
      <c r="L2" s="17"/>
      <c r="M2" s="17"/>
      <c r="N2" s="17"/>
      <c r="O2" s="17"/>
      <c r="P2" s="17"/>
      <c r="Q2" s="17"/>
      <c r="R2" s="17"/>
      <c r="S2" s="17"/>
      <c r="T2" s="17"/>
      <c r="U2" s="17"/>
      <c r="V2" s="17"/>
      <c r="W2" s="17"/>
      <c r="X2" s="17"/>
      <c r="Y2" s="17"/>
      <c r="Z2" s="17"/>
      <c r="AA2" s="17"/>
      <c r="AB2" s="17"/>
      <c r="AC2" s="17"/>
      <c r="AD2" s="17"/>
      <c r="AE2" s="17"/>
      <c r="AF2" s="17"/>
      <c r="AG2" s="17"/>
      <c r="AH2" s="17"/>
      <c r="AI2" s="17"/>
      <c r="AJ2" s="17"/>
    </row>
    <row r="3" spans="1:36" ht="12.75">
      <c r="A3" s="27" t="s">
        <v>7</v>
      </c>
      <c r="B3" s="436"/>
      <c r="C3" s="436"/>
      <c r="D3" s="19" t="s">
        <v>0</v>
      </c>
      <c r="E3" s="19" t="s">
        <v>13</v>
      </c>
      <c r="F3" s="19" t="s">
        <v>1</v>
      </c>
      <c r="G3" s="19" t="s">
        <v>2</v>
      </c>
      <c r="H3" s="19" t="s">
        <v>0</v>
      </c>
      <c r="I3" s="19" t="s">
        <v>13</v>
      </c>
      <c r="J3" s="19" t="s">
        <v>1</v>
      </c>
      <c r="K3" s="273"/>
      <c r="L3" s="315"/>
      <c r="M3" s="17"/>
      <c r="N3" s="17"/>
      <c r="O3" s="17"/>
      <c r="P3" s="17"/>
      <c r="Q3" s="17"/>
      <c r="R3" s="17"/>
      <c r="S3" s="17"/>
      <c r="T3" s="17"/>
      <c r="U3" s="17"/>
      <c r="V3" s="17"/>
      <c r="W3" s="17"/>
      <c r="X3" s="17"/>
      <c r="Y3" s="17"/>
      <c r="Z3" s="17"/>
      <c r="AA3" s="17"/>
      <c r="AB3" s="17"/>
      <c r="AC3" s="17"/>
      <c r="AD3" s="17"/>
      <c r="AE3" s="17"/>
      <c r="AF3" s="17"/>
      <c r="AG3" s="17"/>
      <c r="AH3" s="17"/>
      <c r="AI3" s="17"/>
      <c r="AJ3" s="17"/>
    </row>
    <row r="4" spans="1:36" ht="12.75">
      <c r="A4" s="20" t="s">
        <v>14</v>
      </c>
      <c r="B4" s="24">
        <f>ROUND('NORTH FORK'!B53,-1)</f>
        <v>43740</v>
      </c>
      <c r="C4" s="24">
        <f>ROUND('NORTH FORK'!B55,-1)</f>
        <v>43740</v>
      </c>
      <c r="D4" s="24">
        <f>ROUND('NORTH FORK'!B59,-1)</f>
        <v>9800</v>
      </c>
      <c r="E4" s="24">
        <f>ROUND('NORTH FORK'!B61,-1)</f>
        <v>0</v>
      </c>
      <c r="F4" s="24">
        <f>ROUND('NORTH FORK'!B63,-1)</f>
        <v>10760</v>
      </c>
      <c r="G4" s="24">
        <f>ROUND('NORTH FORK'!B66,-1)</f>
        <v>23180</v>
      </c>
      <c r="H4" s="24">
        <f>ROUND('NORTH FORK'!B29,-1)</f>
        <v>15620</v>
      </c>
      <c r="I4" s="24">
        <f>ROUND('NORTH FORK'!B33,-1)</f>
        <v>20</v>
      </c>
      <c r="J4" s="24">
        <f>ROUND('NORTH FORK'!B39,-1)</f>
        <v>4470</v>
      </c>
      <c r="K4" s="274"/>
      <c r="L4" s="316"/>
      <c r="M4" s="17"/>
      <c r="N4" s="17"/>
      <c r="O4" s="17"/>
      <c r="P4" s="17"/>
      <c r="Q4" s="17"/>
      <c r="R4" s="17"/>
      <c r="S4" s="17"/>
      <c r="T4" s="17"/>
      <c r="U4" s="17"/>
      <c r="V4" s="17"/>
      <c r="W4" s="17"/>
      <c r="X4" s="317"/>
      <c r="Y4" s="317"/>
      <c r="Z4" s="317"/>
      <c r="AA4" s="317"/>
      <c r="AB4" s="317"/>
      <c r="AC4" s="317"/>
      <c r="AD4" s="317"/>
      <c r="AE4" s="317"/>
      <c r="AF4" s="317"/>
      <c r="AG4" s="317"/>
      <c r="AH4" s="17"/>
      <c r="AI4" s="17"/>
      <c r="AJ4" s="17"/>
    </row>
    <row r="5" spans="1:36" ht="12.75">
      <c r="A5" s="20" t="s">
        <v>15</v>
      </c>
      <c r="B5" s="24">
        <f>ROUND(ARIKAREE!B65,-1)</f>
        <v>3230</v>
      </c>
      <c r="C5" s="24">
        <f>ROUND(ARIKAREE!B67,-1)</f>
        <v>3230</v>
      </c>
      <c r="D5" s="24">
        <f>+ARIKAREE!B71</f>
        <v>2540</v>
      </c>
      <c r="E5" s="24">
        <f>+ARIKAREE!B73</f>
        <v>160</v>
      </c>
      <c r="F5" s="24">
        <f>+ARIKAREE!B75</f>
        <v>540</v>
      </c>
      <c r="G5" s="24">
        <f>+ARIKAREE!B78</f>
        <v>-10</v>
      </c>
      <c r="H5" s="24">
        <f>ROUND(ARIKAREE!B34,-1)</f>
        <v>1420</v>
      </c>
      <c r="I5" s="24">
        <f>ROUND(ARIKAREE!B43,-1)</f>
        <v>110</v>
      </c>
      <c r="J5" s="24">
        <f>ROUND(ARIKAREE!B52,-1)</f>
        <v>130</v>
      </c>
      <c r="K5" s="274"/>
      <c r="L5" s="316"/>
      <c r="M5" s="17"/>
      <c r="N5" s="17"/>
      <c r="O5" s="17"/>
      <c r="P5" s="17"/>
      <c r="Q5" s="17"/>
      <c r="R5" s="17"/>
      <c r="S5" s="17"/>
      <c r="T5" s="17"/>
      <c r="U5" s="17"/>
      <c r="V5" s="17"/>
      <c r="W5" s="17"/>
      <c r="X5" s="317"/>
      <c r="Y5" s="317"/>
      <c r="Z5" s="317"/>
      <c r="AA5" s="317"/>
      <c r="AB5" s="317"/>
      <c r="AC5" s="317"/>
      <c r="AD5" s="317"/>
      <c r="AE5" s="317"/>
      <c r="AF5" s="317"/>
      <c r="AG5" s="317"/>
      <c r="AH5" s="17"/>
      <c r="AI5" s="17"/>
      <c r="AJ5" s="17"/>
    </row>
    <row r="6" spans="1:36" ht="12.75">
      <c r="A6" s="20" t="s">
        <v>16</v>
      </c>
      <c r="B6" s="24">
        <f>ROUND(BUFFALO!B56,-1)</f>
        <v>6070</v>
      </c>
      <c r="C6" s="24">
        <f>ROUND(BUFFALO!B58,-1)</f>
        <v>6070</v>
      </c>
      <c r="D6" s="24">
        <f>+BUFFALO!B62</f>
        <v>0</v>
      </c>
      <c r="E6" s="24">
        <f>+BUFFALO!B64</f>
        <v>0</v>
      </c>
      <c r="F6" s="24">
        <f>+BUFFALO!B66</f>
        <v>2000</v>
      </c>
      <c r="G6" s="24">
        <f>+BUFFALO!B69</f>
        <v>4070</v>
      </c>
      <c r="H6" s="24">
        <f>ROUND(BUFFALO!B30,-1)</f>
        <v>350</v>
      </c>
      <c r="I6" s="24">
        <f>ROUND(BUFFALO!B34,-1)</f>
        <v>0</v>
      </c>
      <c r="J6" s="24">
        <f>ROUND(BUFFALO!B43,-1)</f>
        <v>3530</v>
      </c>
      <c r="K6" s="274"/>
      <c r="L6" s="316"/>
      <c r="M6" s="17"/>
      <c r="N6" s="17"/>
      <c r="O6" s="17"/>
      <c r="P6" s="17"/>
      <c r="Q6" s="17"/>
      <c r="R6" s="17"/>
      <c r="S6" s="17"/>
      <c r="T6" s="17"/>
      <c r="U6" s="17"/>
      <c r="V6" s="17"/>
      <c r="W6" s="17"/>
      <c r="X6" s="317"/>
      <c r="Y6" s="317"/>
      <c r="Z6" s="317"/>
      <c r="AA6" s="317"/>
      <c r="AB6" s="317"/>
      <c r="AC6" s="317"/>
      <c r="AD6" s="317"/>
      <c r="AE6" s="317"/>
      <c r="AF6" s="317"/>
      <c r="AG6" s="317"/>
      <c r="AH6" s="17"/>
      <c r="AI6" s="17"/>
      <c r="AJ6" s="17"/>
    </row>
    <row r="7" spans="1:36" ht="12.75">
      <c r="A7" s="20" t="s">
        <v>5</v>
      </c>
      <c r="B7" s="24">
        <f>ROUND(ROCK!B47,-1)</f>
        <v>9100</v>
      </c>
      <c r="C7" s="24">
        <f>ROUND(ROCK!B49,-1)</f>
        <v>9100</v>
      </c>
      <c r="D7" s="24">
        <f>+ROCK!B53</f>
        <v>0</v>
      </c>
      <c r="E7" s="24">
        <f>+ROCK!B55</f>
        <v>0</v>
      </c>
      <c r="F7" s="24">
        <f>+ROCK!B57</f>
        <v>3640</v>
      </c>
      <c r="G7" s="24">
        <f>+ROCK!B60</f>
        <v>5460</v>
      </c>
      <c r="H7" s="24">
        <f>ROUND(ROCK!B21,-1)</f>
        <v>80</v>
      </c>
      <c r="I7" s="24">
        <f>ROUND(ROCK!B25,-1)</f>
        <v>0</v>
      </c>
      <c r="J7" s="24">
        <f>ROUND(ROCK!B34,-1)</f>
        <v>4170</v>
      </c>
      <c r="K7" s="274"/>
      <c r="L7" s="316"/>
      <c r="M7" s="17"/>
      <c r="N7" s="17"/>
      <c r="O7" s="17"/>
      <c r="P7" s="17"/>
      <c r="Q7" s="17"/>
      <c r="R7" s="17"/>
      <c r="S7" s="17"/>
      <c r="T7" s="17"/>
      <c r="U7" s="17"/>
      <c r="V7" s="17"/>
      <c r="W7" s="17"/>
      <c r="X7" s="317"/>
      <c r="Y7" s="317"/>
      <c r="Z7" s="317"/>
      <c r="AA7" s="317"/>
      <c r="AB7" s="317"/>
      <c r="AC7" s="317"/>
      <c r="AD7" s="317"/>
      <c r="AE7" s="317"/>
      <c r="AF7" s="317"/>
      <c r="AG7" s="317"/>
      <c r="AH7" s="17"/>
      <c r="AI7" s="17"/>
      <c r="AJ7" s="17"/>
    </row>
    <row r="8" spans="1:36" ht="12.75">
      <c r="A8" s="20" t="s">
        <v>17</v>
      </c>
      <c r="B8" s="24">
        <f>ROUND('SOUTH FORK'!B71,-1)</f>
        <v>24640</v>
      </c>
      <c r="C8" s="24">
        <f>ROUND('SOUTH FORK'!B73,-1)</f>
        <v>23240</v>
      </c>
      <c r="D8" s="24">
        <f>+'SOUTH FORK'!B77</f>
        <v>10320</v>
      </c>
      <c r="E8" s="24">
        <f>+'SOUTH FORK'!B79</f>
        <v>9340</v>
      </c>
      <c r="F8" s="24">
        <f>+'SOUTH FORK'!B81</f>
        <v>330</v>
      </c>
      <c r="G8" s="24">
        <f>+'SOUTH FORK'!B84</f>
        <v>3250</v>
      </c>
      <c r="H8" s="24">
        <f>ROUND('SOUTH FORK'!B39,-1)</f>
        <v>14920</v>
      </c>
      <c r="I8" s="24">
        <f>ROUND('SOUTH FORK'!B48,-1)</f>
        <v>5870</v>
      </c>
      <c r="J8" s="24">
        <f>ROUND('SOUTH FORK'!B57,-1)</f>
        <v>1030</v>
      </c>
      <c r="K8" s="274"/>
      <c r="L8" s="316"/>
      <c r="M8" s="17"/>
      <c r="N8" s="17"/>
      <c r="O8" s="17"/>
      <c r="P8" s="17"/>
      <c r="Q8" s="17"/>
      <c r="R8" s="17"/>
      <c r="S8" s="17"/>
      <c r="T8" s="17"/>
      <c r="U8" s="17"/>
      <c r="V8" s="17"/>
      <c r="W8" s="17"/>
      <c r="X8" s="317"/>
      <c r="Y8" s="317"/>
      <c r="Z8" s="317"/>
      <c r="AA8" s="317"/>
      <c r="AB8" s="317"/>
      <c r="AC8" s="317"/>
      <c r="AD8" s="317"/>
      <c r="AE8" s="317"/>
      <c r="AF8" s="317"/>
      <c r="AG8" s="317"/>
      <c r="AH8" s="17"/>
      <c r="AI8" s="17"/>
      <c r="AJ8" s="17"/>
    </row>
    <row r="9" spans="1:36" ht="12.75">
      <c r="A9" s="20" t="s">
        <v>18</v>
      </c>
      <c r="B9" s="24">
        <f>ROUND(FRENCHMAN!B65,-1)</f>
        <v>112350</v>
      </c>
      <c r="C9" s="24">
        <f>ROUND(FRENCHMAN!B67,-1)</f>
        <v>113850</v>
      </c>
      <c r="D9" s="24">
        <f>+FRENCHMAN!B71</f>
        <v>0</v>
      </c>
      <c r="E9" s="24">
        <f>+FRENCHMAN!B73</f>
        <v>0</v>
      </c>
      <c r="F9" s="24">
        <f>+FRENCHMAN!B75</f>
        <v>61020</v>
      </c>
      <c r="G9" s="24">
        <f>+FRENCHMAN!B78</f>
        <v>52830</v>
      </c>
      <c r="H9" s="24">
        <f>ROUND(FRENCHMAN!B31,-1)</f>
        <v>350</v>
      </c>
      <c r="I9" s="24">
        <f>ROUND(FRENCHMAN!B35,-1)</f>
        <v>0</v>
      </c>
      <c r="J9" s="24">
        <f>ROUND(FRENCHMAN!B49,-1)</f>
        <v>80280</v>
      </c>
      <c r="K9" s="274"/>
      <c r="L9" s="316"/>
      <c r="M9" s="17"/>
      <c r="N9" s="17"/>
      <c r="O9" s="17"/>
      <c r="P9" s="17"/>
      <c r="Q9" s="17"/>
      <c r="R9" s="17"/>
      <c r="S9" s="17"/>
      <c r="T9" s="17"/>
      <c r="U9" s="17"/>
      <c r="V9" s="17"/>
      <c r="W9" s="17"/>
      <c r="X9" s="317"/>
      <c r="Y9" s="317"/>
      <c r="Z9" s="317"/>
      <c r="AA9" s="317"/>
      <c r="AB9" s="317"/>
      <c r="AC9" s="317"/>
      <c r="AD9" s="317"/>
      <c r="AE9" s="317"/>
      <c r="AF9" s="317"/>
      <c r="AG9" s="317"/>
      <c r="AH9" s="17"/>
      <c r="AI9" s="17"/>
      <c r="AJ9" s="17"/>
    </row>
    <row r="10" spans="1:36" ht="12.75">
      <c r="A10" s="20" t="s">
        <v>19</v>
      </c>
      <c r="B10" s="24">
        <f>ROUND(DRIFTWOOD!B61,-1)</f>
        <v>3840</v>
      </c>
      <c r="C10" s="24">
        <f>ROUND(DRIFTWOOD!B63,-1)</f>
        <v>3840</v>
      </c>
      <c r="D10" s="24">
        <f>+DRIFTWOOD!B67</f>
        <v>0</v>
      </c>
      <c r="E10" s="24">
        <f>+DRIFTWOOD!B69</f>
        <v>260</v>
      </c>
      <c r="F10" s="24">
        <f>+DRIFTWOOD!B71</f>
        <v>630</v>
      </c>
      <c r="G10" s="24">
        <f>+DRIFTWOOD!B74</f>
        <v>2950</v>
      </c>
      <c r="H10" s="24">
        <f>ROUND(DRIFTWOOD!B29,-1)</f>
        <v>0</v>
      </c>
      <c r="I10" s="24">
        <f>ROUND(DRIFTWOOD!B38,-1)</f>
        <v>10</v>
      </c>
      <c r="J10" s="24">
        <f>ROUND(DRIFTWOOD!B47,-1)</f>
        <v>1290</v>
      </c>
      <c r="K10" s="274"/>
      <c r="L10" s="316"/>
      <c r="M10" s="17"/>
      <c r="N10" s="17"/>
      <c r="O10" s="17"/>
      <c r="P10" s="17"/>
      <c r="Q10" s="17"/>
      <c r="R10" s="17"/>
      <c r="S10" s="17"/>
      <c r="T10" s="17"/>
      <c r="U10" s="17"/>
      <c r="V10" s="17"/>
      <c r="W10" s="17"/>
      <c r="X10" s="317"/>
      <c r="Y10" s="317"/>
      <c r="Z10" s="317"/>
      <c r="AA10" s="317"/>
      <c r="AB10" s="317"/>
      <c r="AC10" s="317"/>
      <c r="AD10" s="317"/>
      <c r="AE10" s="317"/>
      <c r="AF10" s="317"/>
      <c r="AG10" s="317"/>
      <c r="AH10" s="17"/>
      <c r="AI10" s="17"/>
      <c r="AJ10" s="17"/>
    </row>
    <row r="11" spans="1:36" ht="12.75">
      <c r="A11" s="20" t="s">
        <v>20</v>
      </c>
      <c r="B11" s="24">
        <f>ROUND('RED WILLOW'!B59,-1)</f>
        <v>27950</v>
      </c>
      <c r="C11" s="24">
        <f>ROUND('RED WILLOW'!B61,-1)</f>
        <v>26450</v>
      </c>
      <c r="D11" s="24">
        <f>+'RED WILLOW'!B65</f>
        <v>0.33</v>
      </c>
      <c r="E11" s="24">
        <f>+'RED WILLOW'!B67</f>
        <v>0</v>
      </c>
      <c r="F11" s="24">
        <f>+'RED WILLOW'!B69</f>
        <v>5080</v>
      </c>
      <c r="G11" s="24">
        <f>+'RED WILLOW'!B72</f>
        <v>21369.67</v>
      </c>
      <c r="H11" s="24">
        <f>ROUND('RED WILLOW'!B27,-1)</f>
        <v>0</v>
      </c>
      <c r="I11" s="24">
        <f>ROUND('RED WILLOW'!B31,-1)</f>
        <v>0</v>
      </c>
      <c r="J11" s="24">
        <f>ROUND('RED WILLOW'!B42,-1)</f>
        <v>9310</v>
      </c>
      <c r="K11" s="274"/>
      <c r="L11" s="316"/>
      <c r="M11" s="17"/>
      <c r="N11" s="17"/>
      <c r="O11" s="17"/>
      <c r="P11" s="17"/>
      <c r="Q11" s="17"/>
      <c r="R11" s="17"/>
      <c r="S11" s="17"/>
      <c r="T11" s="17"/>
      <c r="U11" s="17"/>
      <c r="V11" s="17"/>
      <c r="W11" s="17"/>
      <c r="X11" s="317"/>
      <c r="Y11" s="317"/>
      <c r="Z11" s="317"/>
      <c r="AA11" s="317"/>
      <c r="AB11" s="317"/>
      <c r="AC11" s="317"/>
      <c r="AD11" s="317"/>
      <c r="AE11" s="317"/>
      <c r="AF11" s="317"/>
      <c r="AG11" s="317"/>
      <c r="AH11" s="17"/>
      <c r="AI11" s="17"/>
      <c r="AJ11" s="17"/>
    </row>
    <row r="12" spans="1:36" ht="12.75">
      <c r="A12" s="20" t="s">
        <v>21</v>
      </c>
      <c r="B12" s="24">
        <f>ROUND('MEDICINE CREEK'!B64,-1)</f>
        <v>75820</v>
      </c>
      <c r="C12" s="24">
        <f>ROUND('MEDICINE CREEK'!B66,-1)</f>
        <v>76820</v>
      </c>
      <c r="D12" s="24">
        <f>+'MEDICINE CREEK'!B70</f>
        <v>0</v>
      </c>
      <c r="E12" s="24">
        <f>+'MEDICINE CREEK'!B72</f>
        <v>0</v>
      </c>
      <c r="F12" s="24">
        <f>+'MEDICINE CREEK'!B74</f>
        <v>6990</v>
      </c>
      <c r="G12" s="24">
        <f>+'MEDICINE CREEK'!B77</f>
        <v>69830</v>
      </c>
      <c r="H12" s="24">
        <f>ROUND('MEDICINE CREEK'!B27,-1)</f>
        <v>0</v>
      </c>
      <c r="I12" s="24">
        <f>ROUND('MEDICINE CREEK'!B31,-1)</f>
        <v>0</v>
      </c>
      <c r="J12" s="24">
        <f>ROUND('MEDICINE CREEK'!B44,-1)</f>
        <v>19730</v>
      </c>
      <c r="K12" s="274"/>
      <c r="L12" s="316"/>
      <c r="M12" s="17"/>
      <c r="N12" s="17"/>
      <c r="O12" s="17"/>
      <c r="P12" s="17"/>
      <c r="Q12" s="17"/>
      <c r="R12" s="17"/>
      <c r="S12" s="17"/>
      <c r="T12" s="17"/>
      <c r="U12" s="17"/>
      <c r="V12" s="17"/>
      <c r="W12" s="17"/>
      <c r="X12" s="317"/>
      <c r="Y12" s="317"/>
      <c r="Z12" s="317"/>
      <c r="AA12" s="317"/>
      <c r="AB12" s="317"/>
      <c r="AC12" s="317"/>
      <c r="AD12" s="317"/>
      <c r="AE12" s="317"/>
      <c r="AF12" s="317"/>
      <c r="AG12" s="317"/>
      <c r="AH12" s="17"/>
      <c r="AI12" s="17"/>
      <c r="AJ12" s="17"/>
    </row>
    <row r="13" spans="1:36" ht="12.75">
      <c r="A13" s="20" t="s">
        <v>22</v>
      </c>
      <c r="B13" s="24">
        <f>ROUND(BEAVER!B78,-1)</f>
        <v>14190</v>
      </c>
      <c r="C13" s="24">
        <f>ROUND(BEAVER!B80,-1)</f>
        <v>14190</v>
      </c>
      <c r="D13" s="24">
        <f>+BEAVER!B84</f>
        <v>2840</v>
      </c>
      <c r="E13" s="24">
        <f>+BEAVER!B86</f>
        <v>5510</v>
      </c>
      <c r="F13" s="24">
        <f>+BEAVER!B88</f>
        <v>5760</v>
      </c>
      <c r="G13" s="24">
        <f>+BEAVER!B91</f>
        <v>80</v>
      </c>
      <c r="H13" s="24">
        <f>ROUND(BEAVER!B38,-1)</f>
        <v>0</v>
      </c>
      <c r="I13" s="24">
        <f>ROUND(BEAVER!B47,-1)</f>
        <v>7030</v>
      </c>
      <c r="J13" s="24">
        <f>ROUND(BEAVER!B60,-1)</f>
        <v>5940</v>
      </c>
      <c r="K13" s="274"/>
      <c r="L13" s="316"/>
      <c r="M13" s="17"/>
      <c r="N13" s="17"/>
      <c r="O13" s="17"/>
      <c r="P13" s="17"/>
      <c r="Q13" s="17"/>
      <c r="R13" s="17"/>
      <c r="S13" s="17"/>
      <c r="T13" s="17"/>
      <c r="U13" s="17"/>
      <c r="V13" s="17"/>
      <c r="W13" s="17"/>
      <c r="X13" s="317"/>
      <c r="Y13" s="317"/>
      <c r="Z13" s="317"/>
      <c r="AA13" s="317"/>
      <c r="AB13" s="317"/>
      <c r="AC13" s="317"/>
      <c r="AD13" s="317"/>
      <c r="AE13" s="317"/>
      <c r="AF13" s="317"/>
      <c r="AG13" s="317"/>
      <c r="AH13" s="17"/>
      <c r="AI13" s="17"/>
      <c r="AJ13" s="17"/>
    </row>
    <row r="14" spans="1:36" ht="12.75">
      <c r="A14" s="20" t="s">
        <v>23</v>
      </c>
      <c r="B14" s="24">
        <f>ROUND(SAPPA!B72,-1)</f>
        <v>11990</v>
      </c>
      <c r="C14" s="24">
        <f>ROUND(SAPPA!B74,-1)</f>
        <v>11990</v>
      </c>
      <c r="D14" s="24">
        <f>+SAPPA!B78</f>
        <v>0</v>
      </c>
      <c r="E14" s="24">
        <f>+SAPPA!B80</f>
        <v>4930</v>
      </c>
      <c r="F14" s="24">
        <f>+SAPPA!B82</f>
        <v>4930</v>
      </c>
      <c r="G14" s="24">
        <f>+SAPPA!B85</f>
        <v>2130</v>
      </c>
      <c r="H14" s="24">
        <f>ROUND(SAPPA!B30,-1)</f>
        <v>0</v>
      </c>
      <c r="I14" s="24">
        <f>ROUND(SAPPA!B39,-1)</f>
        <v>2440</v>
      </c>
      <c r="J14" s="24">
        <f>ROUND(SAPPA!B53,-1)</f>
        <v>3020</v>
      </c>
      <c r="K14" s="274"/>
      <c r="L14" s="316"/>
      <c r="M14" s="17"/>
      <c r="N14" s="17"/>
      <c r="O14" s="17"/>
      <c r="P14" s="17"/>
      <c r="Q14" s="17"/>
      <c r="R14" s="17"/>
      <c r="S14" s="17"/>
      <c r="T14" s="17"/>
      <c r="U14" s="17"/>
      <c r="V14" s="17"/>
      <c r="W14" s="17"/>
      <c r="X14" s="317"/>
      <c r="Y14" s="317"/>
      <c r="Z14" s="317"/>
      <c r="AA14" s="317"/>
      <c r="AB14" s="317"/>
      <c r="AC14" s="317"/>
      <c r="AD14" s="317"/>
      <c r="AE14" s="317"/>
      <c r="AF14" s="317"/>
      <c r="AG14" s="317"/>
      <c r="AH14" s="17"/>
      <c r="AI14" s="17"/>
      <c r="AJ14" s="17"/>
    </row>
    <row r="15" spans="1:36" ht="12.75">
      <c r="A15" s="20" t="s">
        <v>24</v>
      </c>
      <c r="B15" s="24">
        <f>ROUND('PRAIRIE DOG'!B70,-1)</f>
        <v>26310</v>
      </c>
      <c r="C15" s="24">
        <f>ROUND('PRAIRIE DOG'!B72,-1)</f>
        <v>19710</v>
      </c>
      <c r="D15" s="24">
        <f>+'PRAIRIE DOG'!B76</f>
        <v>0</v>
      </c>
      <c r="E15" s="24">
        <f>+'PRAIRIE DOG'!B78</f>
        <v>9010</v>
      </c>
      <c r="F15" s="24">
        <f>+'PRAIRIE DOG'!B80</f>
        <v>1500</v>
      </c>
      <c r="G15" s="24">
        <f>+'PRAIRIE DOG'!B83</f>
        <v>9200</v>
      </c>
      <c r="H15" s="24">
        <f>ROUND('PRAIRIE DOG'!B31,-1)</f>
        <v>0</v>
      </c>
      <c r="I15" s="24">
        <f>ROUND('PRAIRIE DOG'!B42,-1)</f>
        <v>12180</v>
      </c>
      <c r="J15" s="81">
        <f>ROUND('PRAIRIE DOG'!B66,-1)</f>
        <v>110</v>
      </c>
      <c r="K15" s="274"/>
      <c r="L15" s="316"/>
      <c r="M15" s="17"/>
      <c r="N15" s="17"/>
      <c r="O15" s="17"/>
      <c r="P15" s="17"/>
      <c r="Q15" s="17"/>
      <c r="R15" s="17"/>
      <c r="S15" s="17"/>
      <c r="T15" s="17"/>
      <c r="U15" s="17"/>
      <c r="V15" s="17"/>
      <c r="W15" s="17"/>
      <c r="X15" s="317"/>
      <c r="Y15" s="317"/>
      <c r="Z15" s="317"/>
      <c r="AA15" s="317"/>
      <c r="AB15" s="317"/>
      <c r="AC15" s="317"/>
      <c r="AD15" s="317"/>
      <c r="AE15" s="317"/>
      <c r="AF15" s="317"/>
      <c r="AG15" s="317"/>
      <c r="AH15" s="17"/>
      <c r="AI15" s="17"/>
      <c r="AJ15" s="17"/>
    </row>
    <row r="16" spans="1:36" ht="13.5" thickBot="1">
      <c r="A16" s="21" t="s">
        <v>6</v>
      </c>
      <c r="B16" s="25">
        <f>ROUND(MAINSTEM!B185,-1)</f>
        <v>296290</v>
      </c>
      <c r="C16" s="25">
        <f>ROUND(MAINSTEM!B187,-1)</f>
        <v>225590</v>
      </c>
      <c r="D16" s="25">
        <f>+MAINSTEM!B191</f>
        <v>0</v>
      </c>
      <c r="E16" s="25">
        <f>+MAINSTEM!B193</f>
        <v>115280</v>
      </c>
      <c r="F16" s="25">
        <f>+MAINSTEM!B195</f>
        <v>110310</v>
      </c>
      <c r="G16" s="25">
        <f>+MAINSTEM!B198</f>
        <v>0</v>
      </c>
      <c r="H16" s="25">
        <f>ROUND(MAINSTEM!B101,-1)</f>
        <v>-2180</v>
      </c>
      <c r="I16" s="25">
        <f>ROUND(MAINSTEM!B116,-1)</f>
        <v>20150</v>
      </c>
      <c r="J16" s="25">
        <f>ROUND(MAINSTEM!B138,-1)</f>
        <v>115860</v>
      </c>
      <c r="K16" s="274"/>
      <c r="L16" s="316"/>
      <c r="M16" s="17"/>
      <c r="N16" s="17"/>
      <c r="O16" s="17"/>
      <c r="P16" s="17"/>
      <c r="Q16" s="17"/>
      <c r="R16" s="17"/>
      <c r="S16" s="17"/>
      <c r="T16" s="17"/>
      <c r="U16" s="17"/>
      <c r="V16" s="17"/>
      <c r="W16" s="17"/>
      <c r="X16" s="317"/>
      <c r="Y16" s="317"/>
      <c r="Z16" s="317"/>
      <c r="AA16" s="317"/>
      <c r="AB16" s="317"/>
      <c r="AC16" s="317"/>
      <c r="AD16" s="317"/>
      <c r="AE16" s="317"/>
      <c r="AF16" s="317"/>
      <c r="AG16" s="317"/>
      <c r="AH16" s="17"/>
      <c r="AI16" s="17"/>
      <c r="AJ16" s="17"/>
    </row>
    <row r="17" spans="1:36" ht="13.5" thickTop="1">
      <c r="A17" s="22" t="s">
        <v>8</v>
      </c>
      <c r="B17" s="26">
        <f aca="true" t="shared" si="0" ref="B17:J17">SUM(B4:B16)</f>
        <v>655520</v>
      </c>
      <c r="C17" s="26">
        <f t="shared" si="0"/>
        <v>577820</v>
      </c>
      <c r="D17" s="26">
        <f t="shared" si="0"/>
        <v>25500.33</v>
      </c>
      <c r="E17" s="26">
        <f t="shared" si="0"/>
        <v>144490</v>
      </c>
      <c r="F17" s="26">
        <f t="shared" si="0"/>
        <v>213490</v>
      </c>
      <c r="G17" s="26">
        <f t="shared" si="0"/>
        <v>194339.66999999998</v>
      </c>
      <c r="H17" s="26">
        <f t="shared" si="0"/>
        <v>30560</v>
      </c>
      <c r="I17" s="26">
        <f t="shared" si="0"/>
        <v>47810</v>
      </c>
      <c r="J17" s="26">
        <f t="shared" si="0"/>
        <v>248870</v>
      </c>
      <c r="K17" s="274"/>
      <c r="L17" s="316"/>
      <c r="M17" s="17"/>
      <c r="N17" s="17"/>
      <c r="O17" s="17"/>
      <c r="P17" s="17"/>
      <c r="Q17" s="17"/>
      <c r="R17" s="17"/>
      <c r="S17" s="17"/>
      <c r="T17" s="17"/>
      <c r="U17" s="17"/>
      <c r="V17" s="17"/>
      <c r="W17" s="17"/>
      <c r="X17" s="317"/>
      <c r="Y17" s="317"/>
      <c r="Z17" s="317"/>
      <c r="AA17" s="317"/>
      <c r="AB17" s="317"/>
      <c r="AC17" s="317"/>
      <c r="AD17" s="317"/>
      <c r="AE17" s="317"/>
      <c r="AF17" s="317"/>
      <c r="AG17" s="317"/>
      <c r="AH17" s="17"/>
      <c r="AI17" s="17"/>
      <c r="AJ17" s="17"/>
    </row>
    <row r="18" spans="1:36" ht="35.25" customHeight="1" thickBot="1">
      <c r="A18" s="23" t="s">
        <v>25</v>
      </c>
      <c r="B18" s="25"/>
      <c r="C18" s="25">
        <f>+C16+G17</f>
        <v>419929.67</v>
      </c>
      <c r="D18" s="25">
        <f>+D16</f>
        <v>0</v>
      </c>
      <c r="E18" s="25">
        <f>E16+ROUND(G17*0.511,-1)</f>
        <v>214590</v>
      </c>
      <c r="F18" s="25">
        <f>F16+ROUND(G17*0.489,-1)</f>
        <v>205340</v>
      </c>
      <c r="G18" s="25"/>
      <c r="H18" s="25"/>
      <c r="I18" s="25"/>
      <c r="J18" s="25"/>
      <c r="L18" s="17"/>
      <c r="M18" s="17"/>
      <c r="N18" s="17"/>
      <c r="O18" s="17"/>
      <c r="P18" s="17"/>
      <c r="Q18" s="17"/>
      <c r="R18" s="17"/>
      <c r="S18" s="17"/>
      <c r="T18" s="17"/>
      <c r="U18" s="17"/>
      <c r="V18" s="17"/>
      <c r="W18" s="17"/>
      <c r="X18" s="317"/>
      <c r="Y18" s="317"/>
      <c r="Z18" s="317"/>
      <c r="AA18" s="317"/>
      <c r="AB18" s="317"/>
      <c r="AC18" s="317"/>
      <c r="AD18" s="317"/>
      <c r="AE18" s="317"/>
      <c r="AF18" s="317"/>
      <c r="AG18" s="317"/>
      <c r="AH18" s="17"/>
      <c r="AI18" s="17"/>
      <c r="AJ18" s="17"/>
    </row>
    <row r="19" spans="1:36" ht="13.5" thickTop="1">
      <c r="A19" s="22" t="s">
        <v>4</v>
      </c>
      <c r="B19" s="26">
        <f>SUM(B4:B16)</f>
        <v>655520</v>
      </c>
      <c r="C19" s="26">
        <f>SUM(C4:C16)</f>
        <v>577820</v>
      </c>
      <c r="D19" s="26">
        <f>SUM(D4:D15,D18)</f>
        <v>25500.33</v>
      </c>
      <c r="E19" s="26">
        <f>SUM(E4:E15,E18)</f>
        <v>243800</v>
      </c>
      <c r="F19" s="26">
        <f>SUM(F4:F15,F18)</f>
        <v>308520</v>
      </c>
      <c r="G19" s="26">
        <f>+G18</f>
        <v>0</v>
      </c>
      <c r="H19" s="26">
        <f>SUM(H4:H16)</f>
        <v>30560</v>
      </c>
      <c r="I19" s="26">
        <f>SUM(I4:I16)</f>
        <v>47810</v>
      </c>
      <c r="J19" s="292">
        <f>SUM(J4:J16)</f>
        <v>248870</v>
      </c>
      <c r="K19" s="274"/>
      <c r="L19" s="316"/>
      <c r="M19" s="17"/>
      <c r="N19" s="17"/>
      <c r="O19" s="17"/>
      <c r="P19" s="17"/>
      <c r="Q19" s="17"/>
      <c r="R19" s="17"/>
      <c r="S19" s="17"/>
      <c r="T19" s="17"/>
      <c r="U19" s="17"/>
      <c r="V19" s="17"/>
      <c r="W19" s="17"/>
      <c r="X19" s="317"/>
      <c r="Y19" s="317"/>
      <c r="Z19" s="317"/>
      <c r="AA19" s="317"/>
      <c r="AB19" s="317"/>
      <c r="AC19" s="317"/>
      <c r="AD19" s="317"/>
      <c r="AE19" s="317"/>
      <c r="AF19" s="317"/>
      <c r="AG19" s="317"/>
      <c r="AH19" s="17"/>
      <c r="AI19" s="17"/>
      <c r="AJ19" s="17"/>
    </row>
    <row r="20" spans="11:12" ht="12.75">
      <c r="K20" s="274"/>
      <c r="L20" s="274"/>
    </row>
    <row r="21" ht="12.75">
      <c r="A21" s="293" t="s">
        <v>529</v>
      </c>
    </row>
    <row r="23" ht="12.75">
      <c r="A23" s="278"/>
    </row>
    <row r="24" ht="12.75">
      <c r="A24" s="293"/>
    </row>
    <row r="25" ht="12.75">
      <c r="A25" s="278" t="s">
        <v>522</v>
      </c>
    </row>
    <row r="27" spans="1:2" ht="12.75">
      <c r="A27" s="3" t="s">
        <v>508</v>
      </c>
      <c r="B27" s="3">
        <v>2003</v>
      </c>
    </row>
    <row r="29" spans="1:10" ht="12.75">
      <c r="A29" s="434" t="s">
        <v>9</v>
      </c>
      <c r="B29" s="434"/>
      <c r="C29" s="434"/>
      <c r="D29" s="434"/>
      <c r="E29" s="434"/>
      <c r="F29" s="434"/>
      <c r="G29" s="434"/>
      <c r="H29" s="434"/>
      <c r="I29" s="434"/>
      <c r="J29" s="434"/>
    </row>
    <row r="30" spans="1:10" ht="12.75">
      <c r="A30" s="28">
        <v>2003</v>
      </c>
      <c r="B30" s="435" t="s">
        <v>10</v>
      </c>
      <c r="C30" s="435" t="s">
        <v>11</v>
      </c>
      <c r="D30" s="437" t="s">
        <v>12</v>
      </c>
      <c r="E30" s="437"/>
      <c r="F30" s="437"/>
      <c r="G30" s="437"/>
      <c r="H30" s="437" t="s">
        <v>3</v>
      </c>
      <c r="I30" s="437"/>
      <c r="J30" s="437"/>
    </row>
    <row r="31" spans="1:10" ht="12.75">
      <c r="A31" s="27" t="s">
        <v>7</v>
      </c>
      <c r="B31" s="436"/>
      <c r="C31" s="436"/>
      <c r="D31" s="19" t="s">
        <v>0</v>
      </c>
      <c r="E31" s="19" t="s">
        <v>13</v>
      </c>
      <c r="F31" s="19" t="s">
        <v>1</v>
      </c>
      <c r="G31" s="19" t="s">
        <v>2</v>
      </c>
      <c r="H31" s="19" t="s">
        <v>0</v>
      </c>
      <c r="I31" s="19" t="s">
        <v>13</v>
      </c>
      <c r="J31" s="19" t="s">
        <v>1</v>
      </c>
    </row>
    <row r="32" spans="1:10" ht="12.75">
      <c r="A32" s="20" t="s">
        <v>14</v>
      </c>
      <c r="B32" s="24">
        <v>40730</v>
      </c>
      <c r="C32" s="24">
        <v>40730</v>
      </c>
      <c r="D32" s="24">
        <v>9120</v>
      </c>
      <c r="E32" s="24">
        <v>0</v>
      </c>
      <c r="F32" s="24">
        <v>10020</v>
      </c>
      <c r="G32" s="24">
        <v>21590</v>
      </c>
      <c r="H32" s="24">
        <v>16640</v>
      </c>
      <c r="I32" s="24">
        <v>20</v>
      </c>
      <c r="J32" s="24">
        <v>4380</v>
      </c>
    </row>
    <row r="33" spans="1:10" ht="12.75">
      <c r="A33" s="20" t="s">
        <v>15</v>
      </c>
      <c r="B33" s="24">
        <v>1910</v>
      </c>
      <c r="C33" s="24">
        <v>1910</v>
      </c>
      <c r="D33" s="24">
        <v>1500</v>
      </c>
      <c r="E33" s="24">
        <v>100</v>
      </c>
      <c r="F33" s="24">
        <v>320</v>
      </c>
      <c r="G33" s="24">
        <v>-10</v>
      </c>
      <c r="H33" s="24">
        <v>240</v>
      </c>
      <c r="I33" s="24">
        <v>100</v>
      </c>
      <c r="J33" s="24">
        <v>510</v>
      </c>
    </row>
    <row r="34" spans="1:10" ht="12.75">
      <c r="A34" s="20" t="s">
        <v>16</v>
      </c>
      <c r="B34" s="24">
        <v>6100</v>
      </c>
      <c r="C34" s="24">
        <v>6100</v>
      </c>
      <c r="D34" s="24">
        <v>0</v>
      </c>
      <c r="E34" s="24">
        <v>0</v>
      </c>
      <c r="F34" s="24">
        <v>2010</v>
      </c>
      <c r="G34" s="24">
        <v>4090</v>
      </c>
      <c r="H34" s="24">
        <v>270</v>
      </c>
      <c r="I34" s="24">
        <v>0</v>
      </c>
      <c r="J34" s="24">
        <v>3740</v>
      </c>
    </row>
    <row r="35" spans="1:10" ht="12.75">
      <c r="A35" s="20" t="s">
        <v>5</v>
      </c>
      <c r="B35" s="24">
        <v>8190</v>
      </c>
      <c r="C35" s="24">
        <v>8190</v>
      </c>
      <c r="D35" s="24">
        <v>0</v>
      </c>
      <c r="E35" s="24">
        <v>0</v>
      </c>
      <c r="F35" s="24">
        <v>3280</v>
      </c>
      <c r="G35" s="24">
        <v>4910</v>
      </c>
      <c r="H35" s="24">
        <v>60</v>
      </c>
      <c r="I35" s="24">
        <v>0</v>
      </c>
      <c r="J35" s="24">
        <v>3420</v>
      </c>
    </row>
    <row r="36" spans="1:10" ht="12.75">
      <c r="A36" s="20" t="s">
        <v>17</v>
      </c>
      <c r="B36" s="24">
        <v>21500</v>
      </c>
      <c r="C36" s="24">
        <v>23730</v>
      </c>
      <c r="D36" s="24">
        <v>10540</v>
      </c>
      <c r="E36" s="24">
        <v>9540</v>
      </c>
      <c r="F36" s="24">
        <v>330</v>
      </c>
      <c r="G36" s="24">
        <v>3320</v>
      </c>
      <c r="H36" s="24">
        <v>16090</v>
      </c>
      <c r="I36" s="24">
        <v>5380</v>
      </c>
      <c r="J36" s="24">
        <v>1350</v>
      </c>
    </row>
    <row r="37" spans="1:10" ht="12.75">
      <c r="A37" s="20" t="s">
        <v>18</v>
      </c>
      <c r="B37" s="24">
        <v>105700</v>
      </c>
      <c r="C37" s="24">
        <v>105920</v>
      </c>
      <c r="D37" s="24">
        <v>0</v>
      </c>
      <c r="E37" s="24">
        <v>0</v>
      </c>
      <c r="F37" s="24">
        <v>56770</v>
      </c>
      <c r="G37" s="24">
        <v>49150</v>
      </c>
      <c r="H37" s="24">
        <v>40</v>
      </c>
      <c r="I37" s="24">
        <v>0</v>
      </c>
      <c r="J37" s="24">
        <v>91760</v>
      </c>
    </row>
    <row r="38" spans="1:10" ht="12.75">
      <c r="A38" s="20" t="s">
        <v>19</v>
      </c>
      <c r="B38" s="24">
        <v>2490</v>
      </c>
      <c r="C38" s="24">
        <v>2490</v>
      </c>
      <c r="D38" s="24">
        <v>0</v>
      </c>
      <c r="E38" s="24">
        <v>170</v>
      </c>
      <c r="F38" s="24">
        <v>410</v>
      </c>
      <c r="G38" s="24">
        <v>1910</v>
      </c>
      <c r="H38" s="24">
        <v>0</v>
      </c>
      <c r="I38" s="24">
        <v>0</v>
      </c>
      <c r="J38" s="24">
        <v>1390</v>
      </c>
    </row>
    <row r="39" spans="1:10" ht="12.75">
      <c r="A39" s="20" t="s">
        <v>20</v>
      </c>
      <c r="B39" s="24">
        <v>17350</v>
      </c>
      <c r="C39" s="24">
        <v>14400</v>
      </c>
      <c r="D39" s="24">
        <v>0</v>
      </c>
      <c r="E39" s="24">
        <v>0</v>
      </c>
      <c r="F39" s="24">
        <v>2760</v>
      </c>
      <c r="G39" s="24">
        <v>11640</v>
      </c>
      <c r="H39" s="24">
        <v>0</v>
      </c>
      <c r="I39" s="24">
        <v>0</v>
      </c>
      <c r="J39" s="24">
        <v>8310</v>
      </c>
    </row>
    <row r="40" spans="1:10" ht="12.75">
      <c r="A40" s="20" t="s">
        <v>21</v>
      </c>
      <c r="B40" s="24">
        <v>38930</v>
      </c>
      <c r="C40" s="24">
        <v>35550</v>
      </c>
      <c r="D40" s="24">
        <v>0</v>
      </c>
      <c r="E40" s="24">
        <v>0</v>
      </c>
      <c r="F40" s="24">
        <v>3240</v>
      </c>
      <c r="G40" s="24">
        <v>32310</v>
      </c>
      <c r="H40" s="24">
        <v>0</v>
      </c>
      <c r="I40" s="24">
        <v>0</v>
      </c>
      <c r="J40" s="24">
        <v>21440</v>
      </c>
    </row>
    <row r="41" spans="1:10" ht="12.75">
      <c r="A41" s="20" t="s">
        <v>22</v>
      </c>
      <c r="B41" s="24">
        <v>1290</v>
      </c>
      <c r="C41" s="24">
        <v>1290</v>
      </c>
      <c r="D41" s="24">
        <v>260</v>
      </c>
      <c r="E41" s="24">
        <v>500</v>
      </c>
      <c r="F41" s="24">
        <v>520</v>
      </c>
      <c r="G41" s="24">
        <v>10</v>
      </c>
      <c r="H41" s="24">
        <v>0</v>
      </c>
      <c r="I41" s="24">
        <v>290</v>
      </c>
      <c r="J41" s="24">
        <v>780</v>
      </c>
    </row>
    <row r="42" spans="1:10" ht="12.75">
      <c r="A42" s="20" t="s">
        <v>23</v>
      </c>
      <c r="B42" s="24">
        <v>190</v>
      </c>
      <c r="C42" s="24">
        <v>190</v>
      </c>
      <c r="D42" s="24">
        <v>0</v>
      </c>
      <c r="E42" s="24">
        <v>80</v>
      </c>
      <c r="F42" s="24">
        <v>80</v>
      </c>
      <c r="G42" s="24">
        <v>30</v>
      </c>
      <c r="H42" s="24">
        <v>0</v>
      </c>
      <c r="I42" s="24">
        <v>-260</v>
      </c>
      <c r="J42" s="24">
        <v>510</v>
      </c>
    </row>
    <row r="43" spans="1:10" ht="12.75">
      <c r="A43" s="20" t="s">
        <v>24</v>
      </c>
      <c r="B43" s="24">
        <v>3350</v>
      </c>
      <c r="C43" s="24">
        <v>7690</v>
      </c>
      <c r="D43" s="24">
        <v>0</v>
      </c>
      <c r="E43" s="24">
        <v>3510</v>
      </c>
      <c r="F43" s="24">
        <v>580</v>
      </c>
      <c r="G43" s="24">
        <v>3600</v>
      </c>
      <c r="H43" s="24">
        <v>0</v>
      </c>
      <c r="I43" s="24">
        <v>6600</v>
      </c>
      <c r="J43" s="81">
        <v>40</v>
      </c>
    </row>
    <row r="44" spans="1:10" ht="13.5" thickBot="1">
      <c r="A44" s="21" t="s">
        <v>6</v>
      </c>
      <c r="B44" s="25">
        <v>126210</v>
      </c>
      <c r="C44" s="25">
        <v>168590</v>
      </c>
      <c r="D44" s="25">
        <v>0</v>
      </c>
      <c r="E44" s="25">
        <v>86150</v>
      </c>
      <c r="F44" s="25">
        <v>82440</v>
      </c>
      <c r="G44" s="25">
        <v>0</v>
      </c>
      <c r="H44" s="25">
        <v>130</v>
      </c>
      <c r="I44" s="25">
        <v>36780</v>
      </c>
      <c r="J44" s="25">
        <v>125150</v>
      </c>
    </row>
    <row r="45" spans="1:10" ht="13.5" thickTop="1">
      <c r="A45" s="22" t="s">
        <v>8</v>
      </c>
      <c r="B45" s="26">
        <v>373940</v>
      </c>
      <c r="C45" s="26">
        <v>416780</v>
      </c>
      <c r="D45" s="26">
        <v>21420</v>
      </c>
      <c r="E45" s="26">
        <v>100050</v>
      </c>
      <c r="F45" s="26">
        <v>162760</v>
      </c>
      <c r="G45" s="26">
        <v>132550</v>
      </c>
      <c r="H45" s="26">
        <v>33470</v>
      </c>
      <c r="I45" s="26">
        <v>48910</v>
      </c>
      <c r="J45" s="26">
        <v>262780</v>
      </c>
    </row>
    <row r="46" spans="1:10" ht="24.75" thickBot="1">
      <c r="A46" s="23" t="s">
        <v>25</v>
      </c>
      <c r="B46" s="25"/>
      <c r="C46" s="25">
        <v>301140</v>
      </c>
      <c r="D46" s="25">
        <v>0</v>
      </c>
      <c r="E46" s="25">
        <v>153880</v>
      </c>
      <c r="F46" s="25">
        <v>147260</v>
      </c>
      <c r="G46" s="25"/>
      <c r="H46" s="25"/>
      <c r="I46" s="25"/>
      <c r="J46" s="25"/>
    </row>
    <row r="47" spans="1:10" ht="13.5" thickTop="1">
      <c r="A47" s="22" t="s">
        <v>4</v>
      </c>
      <c r="B47" s="26">
        <v>373940</v>
      </c>
      <c r="C47" s="26">
        <v>416780</v>
      </c>
      <c r="D47" s="26">
        <v>21420</v>
      </c>
      <c r="E47" s="26">
        <v>167780</v>
      </c>
      <c r="F47" s="26">
        <v>227580</v>
      </c>
      <c r="G47" s="26">
        <v>0</v>
      </c>
      <c r="H47" s="26">
        <v>33470</v>
      </c>
      <c r="I47" s="26">
        <v>48910</v>
      </c>
      <c r="J47" s="26">
        <v>262780</v>
      </c>
    </row>
    <row r="49" spans="1:2" ht="12.75">
      <c r="A49" s="278" t="s">
        <v>509</v>
      </c>
      <c r="B49" s="3">
        <v>2004</v>
      </c>
    </row>
    <row r="51" spans="1:10" ht="12.75">
      <c r="A51" s="434" t="s">
        <v>9</v>
      </c>
      <c r="B51" s="434"/>
      <c r="C51" s="434"/>
      <c r="D51" s="434"/>
      <c r="E51" s="434"/>
      <c r="F51" s="434"/>
      <c r="G51" s="434"/>
      <c r="H51" s="434"/>
      <c r="I51" s="434"/>
      <c r="J51" s="434"/>
    </row>
    <row r="52" spans="1:10" ht="12.75">
      <c r="A52" s="28">
        <v>2004</v>
      </c>
      <c r="B52" s="435" t="s">
        <v>10</v>
      </c>
      <c r="C52" s="435" t="s">
        <v>11</v>
      </c>
      <c r="D52" s="437" t="s">
        <v>12</v>
      </c>
      <c r="E52" s="437"/>
      <c r="F52" s="437"/>
      <c r="G52" s="437"/>
      <c r="H52" s="437" t="s">
        <v>3</v>
      </c>
      <c r="I52" s="437"/>
      <c r="J52" s="437"/>
    </row>
    <row r="53" spans="1:10" ht="12.75">
      <c r="A53" s="27" t="s">
        <v>7</v>
      </c>
      <c r="B53" s="436"/>
      <c r="C53" s="436"/>
      <c r="D53" s="19" t="s">
        <v>0</v>
      </c>
      <c r="E53" s="19" t="s">
        <v>13</v>
      </c>
      <c r="F53" s="19" t="s">
        <v>1</v>
      </c>
      <c r="G53" s="19" t="s">
        <v>2</v>
      </c>
      <c r="H53" s="19" t="s">
        <v>0</v>
      </c>
      <c r="I53" s="19" t="s">
        <v>13</v>
      </c>
      <c r="J53" s="19" t="s">
        <v>1</v>
      </c>
    </row>
    <row r="54" spans="1:10" ht="12.75">
      <c r="A54" s="20" t="s">
        <v>14</v>
      </c>
      <c r="B54" s="24">
        <v>42360</v>
      </c>
      <c r="C54" s="24">
        <v>42360</v>
      </c>
      <c r="D54" s="24">
        <v>9490</v>
      </c>
      <c r="E54" s="24">
        <v>0</v>
      </c>
      <c r="F54" s="24">
        <v>10420</v>
      </c>
      <c r="G54" s="24">
        <v>22450</v>
      </c>
      <c r="H54" s="24">
        <v>17400</v>
      </c>
      <c r="I54" s="24">
        <v>20</v>
      </c>
      <c r="J54" s="24">
        <v>3690</v>
      </c>
    </row>
    <row r="55" spans="1:10" ht="12.75">
      <c r="A55" s="20" t="s">
        <v>15</v>
      </c>
      <c r="B55" s="24">
        <v>1280</v>
      </c>
      <c r="C55" s="24">
        <v>1280</v>
      </c>
      <c r="D55" s="24">
        <v>1000</v>
      </c>
      <c r="E55" s="24">
        <v>70</v>
      </c>
      <c r="F55" s="24">
        <v>220</v>
      </c>
      <c r="G55" s="24">
        <v>-10</v>
      </c>
      <c r="H55" s="24">
        <v>350</v>
      </c>
      <c r="I55" s="24">
        <v>160</v>
      </c>
      <c r="J55" s="24">
        <v>430</v>
      </c>
    </row>
    <row r="56" spans="1:10" ht="12.75">
      <c r="A56" s="20" t="s">
        <v>16</v>
      </c>
      <c r="B56" s="24">
        <v>6170</v>
      </c>
      <c r="C56" s="24">
        <v>6170</v>
      </c>
      <c r="D56" s="24">
        <v>0</v>
      </c>
      <c r="E56" s="24">
        <v>0</v>
      </c>
      <c r="F56" s="24">
        <v>2040</v>
      </c>
      <c r="G56" s="24">
        <v>4130</v>
      </c>
      <c r="H56" s="24">
        <v>290</v>
      </c>
      <c r="I56" s="24">
        <v>0</v>
      </c>
      <c r="J56" s="24">
        <v>3600</v>
      </c>
    </row>
    <row r="57" spans="1:10" ht="12.75">
      <c r="A57" s="20" t="s">
        <v>5</v>
      </c>
      <c r="B57" s="24">
        <v>9130</v>
      </c>
      <c r="C57" s="24">
        <v>9130</v>
      </c>
      <c r="D57" s="24">
        <v>0</v>
      </c>
      <c r="E57" s="24">
        <v>0</v>
      </c>
      <c r="F57" s="24">
        <v>3650</v>
      </c>
      <c r="G57" s="24">
        <v>5480</v>
      </c>
      <c r="H57" s="24">
        <v>60</v>
      </c>
      <c r="I57" s="24">
        <v>0</v>
      </c>
      <c r="J57" s="24">
        <v>3650</v>
      </c>
    </row>
    <row r="58" spans="1:10" ht="12.75">
      <c r="A58" s="20" t="s">
        <v>17</v>
      </c>
      <c r="B58" s="24">
        <v>21180</v>
      </c>
      <c r="C58" s="24">
        <v>24080</v>
      </c>
      <c r="D58" s="24">
        <v>10690</v>
      </c>
      <c r="E58" s="24">
        <v>9680</v>
      </c>
      <c r="F58" s="24">
        <v>340</v>
      </c>
      <c r="G58" s="24">
        <v>3370</v>
      </c>
      <c r="H58" s="24">
        <v>16800</v>
      </c>
      <c r="I58" s="24">
        <v>6080</v>
      </c>
      <c r="J58" s="24">
        <v>1200</v>
      </c>
    </row>
    <row r="59" spans="1:10" ht="12.75">
      <c r="A59" s="20" t="s">
        <v>18</v>
      </c>
      <c r="B59" s="24">
        <v>116020</v>
      </c>
      <c r="C59" s="24">
        <v>115720</v>
      </c>
      <c r="D59" s="24">
        <v>0</v>
      </c>
      <c r="E59" s="24">
        <v>0</v>
      </c>
      <c r="F59" s="24">
        <v>62030</v>
      </c>
      <c r="G59" s="24">
        <v>53690</v>
      </c>
      <c r="H59" s="24">
        <v>40</v>
      </c>
      <c r="I59" s="24">
        <v>0</v>
      </c>
      <c r="J59" s="24">
        <v>94780</v>
      </c>
    </row>
    <row r="60" spans="1:10" ht="12.75">
      <c r="A60" s="20" t="s">
        <v>19</v>
      </c>
      <c r="B60" s="24">
        <v>2710</v>
      </c>
      <c r="C60" s="24">
        <v>2710</v>
      </c>
      <c r="D60" s="24">
        <v>0</v>
      </c>
      <c r="E60" s="24">
        <v>190</v>
      </c>
      <c r="F60" s="24">
        <v>440</v>
      </c>
      <c r="G60" s="24">
        <v>2080</v>
      </c>
      <c r="H60" s="24">
        <v>0</v>
      </c>
      <c r="I60" s="24">
        <v>10</v>
      </c>
      <c r="J60" s="24">
        <v>1500</v>
      </c>
    </row>
    <row r="61" spans="1:10" ht="12.75">
      <c r="A61" s="20" t="s">
        <v>20</v>
      </c>
      <c r="B61" s="24">
        <v>16850</v>
      </c>
      <c r="C61" s="24">
        <v>14050</v>
      </c>
      <c r="D61" s="24">
        <v>0</v>
      </c>
      <c r="E61" s="24">
        <v>0</v>
      </c>
      <c r="F61" s="24">
        <v>2700</v>
      </c>
      <c r="G61" s="24">
        <v>11350</v>
      </c>
      <c r="H61" s="24">
        <v>0</v>
      </c>
      <c r="I61" s="24">
        <v>0</v>
      </c>
      <c r="J61" s="24">
        <v>8700</v>
      </c>
    </row>
    <row r="62" spans="1:10" ht="12.75">
      <c r="A62" s="20" t="s">
        <v>21</v>
      </c>
      <c r="B62" s="24">
        <v>37260</v>
      </c>
      <c r="C62" s="24">
        <v>37560</v>
      </c>
      <c r="D62" s="24">
        <v>0</v>
      </c>
      <c r="E62" s="24">
        <v>0</v>
      </c>
      <c r="F62" s="24">
        <v>3420</v>
      </c>
      <c r="G62" s="24">
        <v>34140</v>
      </c>
      <c r="H62" s="24">
        <v>0</v>
      </c>
      <c r="I62" s="24">
        <v>0</v>
      </c>
      <c r="J62" s="24">
        <v>21770</v>
      </c>
    </row>
    <row r="63" spans="1:10" ht="12.75">
      <c r="A63" s="20" t="s">
        <v>22</v>
      </c>
      <c r="B63" s="24">
        <v>1820</v>
      </c>
      <c r="C63" s="24">
        <v>1820</v>
      </c>
      <c r="D63" s="24">
        <v>360</v>
      </c>
      <c r="E63" s="24">
        <v>710</v>
      </c>
      <c r="F63" s="24">
        <v>740</v>
      </c>
      <c r="G63" s="24">
        <v>10</v>
      </c>
      <c r="H63" s="24">
        <v>0</v>
      </c>
      <c r="I63" s="24">
        <v>360</v>
      </c>
      <c r="J63" s="24">
        <v>1300</v>
      </c>
    </row>
    <row r="64" spans="1:10" ht="12.75">
      <c r="A64" s="20" t="s">
        <v>23</v>
      </c>
      <c r="B64" s="24">
        <v>590</v>
      </c>
      <c r="C64" s="24">
        <v>590</v>
      </c>
      <c r="D64" s="24">
        <v>0</v>
      </c>
      <c r="E64" s="24">
        <v>240</v>
      </c>
      <c r="F64" s="24">
        <v>240</v>
      </c>
      <c r="G64" s="24">
        <v>110</v>
      </c>
      <c r="H64" s="24">
        <v>0</v>
      </c>
      <c r="I64" s="24">
        <v>90</v>
      </c>
      <c r="J64" s="24">
        <v>590</v>
      </c>
    </row>
    <row r="65" spans="1:10" ht="12.75">
      <c r="A65" s="20" t="s">
        <v>24</v>
      </c>
      <c r="B65" s="24">
        <v>3750</v>
      </c>
      <c r="C65" s="24">
        <v>4750</v>
      </c>
      <c r="D65" s="24">
        <v>0</v>
      </c>
      <c r="E65" s="24">
        <v>2170</v>
      </c>
      <c r="F65" s="24">
        <v>360</v>
      </c>
      <c r="G65" s="24">
        <v>2220</v>
      </c>
      <c r="H65" s="24">
        <v>0</v>
      </c>
      <c r="I65" s="24">
        <v>4600</v>
      </c>
      <c r="J65" s="81">
        <v>50</v>
      </c>
    </row>
    <row r="66" spans="1:10" ht="13.5" thickBot="1">
      <c r="A66" s="21" t="s">
        <v>6</v>
      </c>
      <c r="B66" s="25">
        <v>102100</v>
      </c>
      <c r="C66" s="25">
        <v>104400</v>
      </c>
      <c r="D66" s="25">
        <v>0</v>
      </c>
      <c r="E66" s="25">
        <v>53350</v>
      </c>
      <c r="F66" s="25">
        <v>51050</v>
      </c>
      <c r="G66" s="25">
        <v>0</v>
      </c>
      <c r="H66" s="25">
        <v>-1270</v>
      </c>
      <c r="I66" s="25">
        <v>26800</v>
      </c>
      <c r="J66" s="25">
        <v>111390</v>
      </c>
    </row>
    <row r="67" spans="1:10" ht="13.5" thickTop="1">
      <c r="A67" s="22" t="s">
        <v>8</v>
      </c>
      <c r="B67" s="26">
        <v>361220</v>
      </c>
      <c r="C67" s="26">
        <v>364620</v>
      </c>
      <c r="D67" s="26">
        <v>21540</v>
      </c>
      <c r="E67" s="26">
        <v>66410</v>
      </c>
      <c r="F67" s="26">
        <v>137650</v>
      </c>
      <c r="G67" s="26">
        <v>139020</v>
      </c>
      <c r="H67" s="26">
        <v>33670</v>
      </c>
      <c r="I67" s="26">
        <v>38120</v>
      </c>
      <c r="J67" s="26">
        <v>252650</v>
      </c>
    </row>
    <row r="68" spans="1:10" ht="24.75" thickBot="1">
      <c r="A68" s="23" t="s">
        <v>25</v>
      </c>
      <c r="B68" s="25"/>
      <c r="C68" s="25">
        <v>243420</v>
      </c>
      <c r="D68" s="25">
        <v>0</v>
      </c>
      <c r="E68" s="25">
        <v>124390</v>
      </c>
      <c r="F68" s="25">
        <v>119030</v>
      </c>
      <c r="G68" s="25"/>
      <c r="H68" s="25"/>
      <c r="I68" s="25"/>
      <c r="J68" s="25"/>
    </row>
    <row r="69" spans="1:10" ht="13.5" thickTop="1">
      <c r="A69" s="22" t="s">
        <v>4</v>
      </c>
      <c r="B69" s="26">
        <v>361220</v>
      </c>
      <c r="C69" s="26">
        <v>364620</v>
      </c>
      <c r="D69" s="26">
        <v>21540</v>
      </c>
      <c r="E69" s="26">
        <v>137450</v>
      </c>
      <c r="F69" s="26">
        <v>205630</v>
      </c>
      <c r="G69" s="26">
        <v>0</v>
      </c>
      <c r="H69" s="26">
        <v>33670</v>
      </c>
      <c r="I69" s="26">
        <v>38120</v>
      </c>
      <c r="J69" s="26">
        <v>252650</v>
      </c>
    </row>
    <row r="71" spans="1:2" ht="12.75">
      <c r="A71" s="278" t="s">
        <v>510</v>
      </c>
      <c r="B71" s="3">
        <v>2005</v>
      </c>
    </row>
    <row r="73" spans="1:10" ht="12.75">
      <c r="A73" s="434" t="s">
        <v>9</v>
      </c>
      <c r="B73" s="434"/>
      <c r="C73" s="434"/>
      <c r="D73" s="434"/>
      <c r="E73" s="434"/>
      <c r="F73" s="434"/>
      <c r="G73" s="434"/>
      <c r="H73" s="434"/>
      <c r="I73" s="434"/>
      <c r="J73" s="434"/>
    </row>
    <row r="74" spans="1:10" ht="12.75">
      <c r="A74" s="28">
        <v>2005</v>
      </c>
      <c r="B74" s="435" t="s">
        <v>10</v>
      </c>
      <c r="C74" s="435" t="s">
        <v>11</v>
      </c>
      <c r="D74" s="437" t="s">
        <v>12</v>
      </c>
      <c r="E74" s="437"/>
      <c r="F74" s="437"/>
      <c r="G74" s="437"/>
      <c r="H74" s="437" t="s">
        <v>3</v>
      </c>
      <c r="I74" s="437"/>
      <c r="J74" s="437"/>
    </row>
    <row r="75" spans="1:10" ht="12.75">
      <c r="A75" s="27" t="s">
        <v>7</v>
      </c>
      <c r="B75" s="436"/>
      <c r="C75" s="436"/>
      <c r="D75" s="19" t="s">
        <v>0</v>
      </c>
      <c r="E75" s="19" t="s">
        <v>13</v>
      </c>
      <c r="F75" s="19" t="s">
        <v>1</v>
      </c>
      <c r="G75" s="19" t="s">
        <v>2</v>
      </c>
      <c r="H75" s="19" t="s">
        <v>0</v>
      </c>
      <c r="I75" s="19" t="s">
        <v>13</v>
      </c>
      <c r="J75" s="19" t="s">
        <v>1</v>
      </c>
    </row>
    <row r="76" spans="1:10" ht="12.75">
      <c r="A76" s="20" t="str">
        <f>A54</f>
        <v>North Fork</v>
      </c>
      <c r="B76" s="24">
        <v>44650</v>
      </c>
      <c r="C76" s="24">
        <v>44650</v>
      </c>
      <c r="D76" s="24">
        <v>10040</v>
      </c>
      <c r="E76" s="24">
        <v>0</v>
      </c>
      <c r="F76" s="24">
        <v>11020</v>
      </c>
      <c r="G76" s="24">
        <v>23740</v>
      </c>
      <c r="H76" s="24">
        <v>17530</v>
      </c>
      <c r="I76" s="24">
        <v>20</v>
      </c>
      <c r="J76" s="24">
        <v>4290</v>
      </c>
    </row>
    <row r="77" spans="1:10" ht="12.75">
      <c r="A77" s="20" t="str">
        <f aca="true" t="shared" si="1" ref="A77:A87">A55</f>
        <v>Arikaree</v>
      </c>
      <c r="B77" s="24">
        <v>2520</v>
      </c>
      <c r="C77" s="24">
        <v>2520</v>
      </c>
      <c r="D77" s="24">
        <v>1860</v>
      </c>
      <c r="E77" s="24">
        <v>120</v>
      </c>
      <c r="F77" s="24">
        <v>400</v>
      </c>
      <c r="G77" s="24">
        <v>-10</v>
      </c>
      <c r="H77" s="24">
        <v>810</v>
      </c>
      <c r="I77" s="24">
        <v>160</v>
      </c>
      <c r="J77" s="24">
        <v>250</v>
      </c>
    </row>
    <row r="78" spans="1:10" ht="12.75">
      <c r="A78" s="20" t="str">
        <f t="shared" si="1"/>
        <v>Buffalo</v>
      </c>
      <c r="B78" s="24">
        <v>6030</v>
      </c>
      <c r="C78" s="24">
        <v>6030</v>
      </c>
      <c r="D78" s="24">
        <v>0</v>
      </c>
      <c r="E78" s="24">
        <v>0</v>
      </c>
      <c r="F78" s="24">
        <v>2000</v>
      </c>
      <c r="G78" s="24">
        <v>4050</v>
      </c>
      <c r="H78" s="24">
        <v>310</v>
      </c>
      <c r="I78" s="24">
        <v>0</v>
      </c>
      <c r="J78" s="24">
        <v>3510</v>
      </c>
    </row>
    <row r="79" spans="1:10" ht="12.75">
      <c r="A79" s="20" t="str">
        <f t="shared" si="1"/>
        <v>Rock</v>
      </c>
      <c r="B79" s="24">
        <v>9460</v>
      </c>
      <c r="C79" s="24">
        <v>9460</v>
      </c>
      <c r="D79" s="24">
        <v>0</v>
      </c>
      <c r="E79" s="24">
        <v>0</v>
      </c>
      <c r="F79" s="24">
        <v>3740</v>
      </c>
      <c r="G79" s="24">
        <v>5620</v>
      </c>
      <c r="H79" s="24">
        <v>60</v>
      </c>
      <c r="I79" s="24">
        <v>0</v>
      </c>
      <c r="J79" s="24">
        <v>3830</v>
      </c>
    </row>
    <row r="80" spans="1:10" ht="12.75">
      <c r="A80" s="20" t="str">
        <f t="shared" si="1"/>
        <v>South Fork</v>
      </c>
      <c r="B80" s="24">
        <v>18130</v>
      </c>
      <c r="C80" s="24">
        <v>20460</v>
      </c>
      <c r="D80" s="24">
        <v>12230</v>
      </c>
      <c r="E80" s="24">
        <v>11080</v>
      </c>
      <c r="F80" s="24">
        <v>390</v>
      </c>
      <c r="G80" s="24">
        <v>3850</v>
      </c>
      <c r="H80" s="24">
        <v>18660</v>
      </c>
      <c r="I80" s="24">
        <v>7520</v>
      </c>
      <c r="J80" s="24">
        <v>1370</v>
      </c>
    </row>
    <row r="81" spans="1:10" ht="12.75">
      <c r="A81" s="20" t="str">
        <f t="shared" si="1"/>
        <v>Frenchman</v>
      </c>
      <c r="B81" s="24">
        <v>106260</v>
      </c>
      <c r="C81" s="24">
        <v>106750</v>
      </c>
      <c r="D81" s="24">
        <v>0</v>
      </c>
      <c r="E81" s="24">
        <v>0</v>
      </c>
      <c r="F81" s="24">
        <v>59470</v>
      </c>
      <c r="G81" s="24">
        <v>51480</v>
      </c>
      <c r="H81" s="24">
        <v>40</v>
      </c>
      <c r="I81" s="24">
        <v>0</v>
      </c>
      <c r="J81" s="24">
        <v>86800</v>
      </c>
    </row>
    <row r="82" spans="1:10" ht="12.75">
      <c r="A82" s="20" t="str">
        <f t="shared" si="1"/>
        <v>Driftwood</v>
      </c>
      <c r="B82" s="24">
        <v>3340</v>
      </c>
      <c r="C82" s="24">
        <v>3340</v>
      </c>
      <c r="D82" s="24">
        <v>0</v>
      </c>
      <c r="E82" s="24">
        <v>230</v>
      </c>
      <c r="F82" s="24">
        <v>560</v>
      </c>
      <c r="G82" s="24">
        <v>2610</v>
      </c>
      <c r="H82" s="24">
        <v>0</v>
      </c>
      <c r="I82" s="24">
        <v>10</v>
      </c>
      <c r="J82" s="24">
        <v>1480</v>
      </c>
    </row>
    <row r="83" spans="1:10" ht="12.75">
      <c r="A83" s="20" t="str">
        <f t="shared" si="1"/>
        <v>Red Willow</v>
      </c>
      <c r="B83" s="24">
        <v>7070</v>
      </c>
      <c r="C83" s="24">
        <v>14210</v>
      </c>
      <c r="D83" s="24">
        <v>0</v>
      </c>
      <c r="E83" s="24">
        <v>0</v>
      </c>
      <c r="F83" s="24">
        <v>2800</v>
      </c>
      <c r="G83" s="24">
        <v>11760</v>
      </c>
      <c r="H83" s="24">
        <v>0</v>
      </c>
      <c r="I83" s="24">
        <v>0</v>
      </c>
      <c r="J83" s="24">
        <v>8800</v>
      </c>
    </row>
    <row r="84" spans="1:10" ht="12.75">
      <c r="A84" s="20" t="str">
        <f t="shared" si="1"/>
        <v>Medicine</v>
      </c>
      <c r="B84" s="24">
        <v>30960</v>
      </c>
      <c r="C84" s="24">
        <v>34040</v>
      </c>
      <c r="D84" s="24">
        <v>0</v>
      </c>
      <c r="E84" s="24">
        <v>0</v>
      </c>
      <c r="F84" s="24">
        <v>3130</v>
      </c>
      <c r="G84" s="24">
        <v>31260</v>
      </c>
      <c r="H84" s="24">
        <v>0</v>
      </c>
      <c r="I84" s="24">
        <v>0</v>
      </c>
      <c r="J84" s="24">
        <v>21320</v>
      </c>
    </row>
    <row r="85" spans="1:10" ht="12.75">
      <c r="A85" s="20" t="str">
        <f t="shared" si="1"/>
        <v>Beaver</v>
      </c>
      <c r="B85" s="24">
        <v>6910</v>
      </c>
      <c r="C85" s="24">
        <v>6910</v>
      </c>
      <c r="D85" s="24">
        <v>910</v>
      </c>
      <c r="E85" s="24">
        <v>1770</v>
      </c>
      <c r="F85" s="24">
        <v>1850</v>
      </c>
      <c r="G85" s="24">
        <v>30</v>
      </c>
      <c r="H85" s="24">
        <v>0</v>
      </c>
      <c r="I85" s="24">
        <v>1660</v>
      </c>
      <c r="J85" s="24">
        <v>2730</v>
      </c>
    </row>
    <row r="86" spans="1:10" ht="12.75">
      <c r="A86" s="20" t="str">
        <f t="shared" si="1"/>
        <v>Sappa</v>
      </c>
      <c r="B86" s="24">
        <v>-440</v>
      </c>
      <c r="C86" s="24">
        <v>-440</v>
      </c>
      <c r="D86" s="24">
        <v>0</v>
      </c>
      <c r="E86" s="24">
        <v>-130</v>
      </c>
      <c r="F86" s="24">
        <v>-130</v>
      </c>
      <c r="G86" s="24">
        <v>-50</v>
      </c>
      <c r="H86" s="24">
        <v>0</v>
      </c>
      <c r="I86" s="24">
        <v>-1180</v>
      </c>
      <c r="J86" s="24">
        <v>790</v>
      </c>
    </row>
    <row r="87" spans="1:10" ht="12.75">
      <c r="A87" s="20" t="str">
        <f t="shared" si="1"/>
        <v>Prairie Dog</v>
      </c>
      <c r="B87" s="24">
        <v>11240</v>
      </c>
      <c r="C87" s="24">
        <v>11450</v>
      </c>
      <c r="D87" s="24">
        <v>0</v>
      </c>
      <c r="E87" s="24">
        <v>5310</v>
      </c>
      <c r="F87" s="24">
        <v>880</v>
      </c>
      <c r="G87" s="24">
        <v>5430</v>
      </c>
      <c r="H87" s="24">
        <v>0</v>
      </c>
      <c r="I87" s="24">
        <v>8180</v>
      </c>
      <c r="J87" s="81">
        <v>40</v>
      </c>
    </row>
    <row r="88" spans="1:10" ht="13.5" thickBot="1">
      <c r="A88" s="21" t="s">
        <v>6</v>
      </c>
      <c r="B88" s="25">
        <v>60690</v>
      </c>
      <c r="C88" s="25">
        <v>71260</v>
      </c>
      <c r="D88" s="25">
        <v>0</v>
      </c>
      <c r="E88" s="25">
        <v>47020</v>
      </c>
      <c r="F88" s="25">
        <v>44990</v>
      </c>
      <c r="G88" s="25">
        <v>0</v>
      </c>
      <c r="H88" s="25">
        <v>-1950</v>
      </c>
      <c r="I88" s="25">
        <v>27940</v>
      </c>
      <c r="J88" s="25">
        <v>118530</v>
      </c>
    </row>
    <row r="89" spans="1:10" ht="13.5" thickTop="1">
      <c r="A89" s="22" t="s">
        <v>8</v>
      </c>
      <c r="B89" s="26">
        <v>306820</v>
      </c>
      <c r="C89" s="26">
        <v>330640</v>
      </c>
      <c r="D89" s="26">
        <v>25040</v>
      </c>
      <c r="E89" s="26">
        <v>65400</v>
      </c>
      <c r="F89" s="26">
        <v>131100</v>
      </c>
      <c r="G89" s="26">
        <v>139770</v>
      </c>
      <c r="H89" s="26">
        <v>35460</v>
      </c>
      <c r="I89" s="26">
        <v>44310</v>
      </c>
      <c r="J89" s="26">
        <v>253660</v>
      </c>
    </row>
    <row r="90" spans="1:10" ht="24.75" thickBot="1">
      <c r="A90" s="23" t="s">
        <v>25</v>
      </c>
      <c r="B90" s="25">
        <v>0</v>
      </c>
      <c r="C90" s="25">
        <v>211030</v>
      </c>
      <c r="D90" s="25">
        <v>0</v>
      </c>
      <c r="E90" s="25">
        <v>118440</v>
      </c>
      <c r="F90" s="25">
        <v>113340</v>
      </c>
      <c r="G90" s="25">
        <v>0</v>
      </c>
      <c r="H90" s="25">
        <v>0</v>
      </c>
      <c r="I90" s="25">
        <v>0</v>
      </c>
      <c r="J90" s="25">
        <v>0</v>
      </c>
    </row>
    <row r="91" spans="1:10" ht="13.5" thickTop="1">
      <c r="A91" s="22" t="s">
        <v>4</v>
      </c>
      <c r="B91" s="26">
        <v>306820</v>
      </c>
      <c r="C91" s="26">
        <v>330640</v>
      </c>
      <c r="D91" s="26">
        <v>25040</v>
      </c>
      <c r="E91" s="26">
        <v>136820</v>
      </c>
      <c r="F91" s="26">
        <v>199450</v>
      </c>
      <c r="G91" s="26">
        <v>0</v>
      </c>
      <c r="H91" s="26">
        <v>35460</v>
      </c>
      <c r="I91" s="26">
        <v>44310</v>
      </c>
      <c r="J91" s="26">
        <f>SUM(J76:J88)</f>
        <v>253740</v>
      </c>
    </row>
    <row r="93" spans="1:2" ht="12.75">
      <c r="A93" s="278" t="s">
        <v>511</v>
      </c>
      <c r="B93" s="3">
        <v>2006</v>
      </c>
    </row>
    <row r="94" ht="12.75">
      <c r="A94" t="s">
        <v>576</v>
      </c>
    </row>
    <row r="95" spans="1:10" ht="12.75">
      <c r="A95" s="434" t="s">
        <v>9</v>
      </c>
      <c r="B95" s="434"/>
      <c r="C95" s="434"/>
      <c r="D95" s="434"/>
      <c r="E95" s="434"/>
      <c r="F95" s="434"/>
      <c r="G95" s="434"/>
      <c r="H95" s="434"/>
      <c r="I95" s="434"/>
      <c r="J95" s="434"/>
    </row>
    <row r="96" spans="1:10" ht="12.75">
      <c r="A96" s="28">
        <v>2006</v>
      </c>
      <c r="B96" s="435" t="s">
        <v>10</v>
      </c>
      <c r="C96" s="435" t="s">
        <v>11</v>
      </c>
      <c r="D96" s="437" t="s">
        <v>12</v>
      </c>
      <c r="E96" s="437"/>
      <c r="F96" s="437"/>
      <c r="G96" s="437"/>
      <c r="H96" s="437" t="s">
        <v>3</v>
      </c>
      <c r="I96" s="437"/>
      <c r="J96" s="437"/>
    </row>
    <row r="97" spans="1:10" ht="12.75">
      <c r="A97" s="27" t="s">
        <v>7</v>
      </c>
      <c r="B97" s="436"/>
      <c r="C97" s="436"/>
      <c r="D97" s="19" t="s">
        <v>0</v>
      </c>
      <c r="E97" s="19" t="s">
        <v>13</v>
      </c>
      <c r="F97" s="19" t="s">
        <v>1</v>
      </c>
      <c r="G97" s="19" t="s">
        <v>2</v>
      </c>
      <c r="H97" s="19" t="s">
        <v>0</v>
      </c>
      <c r="I97" s="19" t="s">
        <v>13</v>
      </c>
      <c r="J97" s="19" t="s">
        <v>1</v>
      </c>
    </row>
    <row r="98" spans="1:10" ht="12.75">
      <c r="A98" s="20" t="s">
        <v>14</v>
      </c>
      <c r="B98" s="24">
        <v>40850</v>
      </c>
      <c r="C98" s="24">
        <v>40850</v>
      </c>
      <c r="D98" s="24">
        <v>9150</v>
      </c>
      <c r="E98" s="24">
        <v>0</v>
      </c>
      <c r="F98" s="24">
        <v>10050</v>
      </c>
      <c r="G98" s="24">
        <v>21650</v>
      </c>
      <c r="H98" s="24">
        <v>17440</v>
      </c>
      <c r="I98" s="24">
        <v>10</v>
      </c>
      <c r="J98" s="24">
        <v>4020</v>
      </c>
    </row>
    <row r="99" spans="1:10" ht="12.75">
      <c r="A99" s="20" t="s">
        <v>15</v>
      </c>
      <c r="B99" s="24">
        <v>1780</v>
      </c>
      <c r="C99" s="24">
        <v>1780</v>
      </c>
      <c r="D99" s="24">
        <v>1400</v>
      </c>
      <c r="E99" s="24">
        <v>90</v>
      </c>
      <c r="F99" s="24">
        <v>300</v>
      </c>
      <c r="G99" s="24">
        <v>-10</v>
      </c>
      <c r="H99" s="24">
        <v>1120</v>
      </c>
      <c r="I99" s="24">
        <v>130</v>
      </c>
      <c r="J99" s="24">
        <v>130</v>
      </c>
    </row>
    <row r="100" spans="1:10" ht="12.75">
      <c r="A100" s="20" t="s">
        <v>16</v>
      </c>
      <c r="B100" s="24">
        <v>5490</v>
      </c>
      <c r="C100" s="24">
        <v>5490</v>
      </c>
      <c r="D100" s="24">
        <v>0</v>
      </c>
      <c r="E100" s="24">
        <v>0</v>
      </c>
      <c r="F100" s="24">
        <v>1810</v>
      </c>
      <c r="G100" s="24">
        <v>3680</v>
      </c>
      <c r="H100" s="24">
        <v>320</v>
      </c>
      <c r="I100" s="24">
        <v>0</v>
      </c>
      <c r="J100" s="24">
        <v>3440</v>
      </c>
    </row>
    <row r="101" spans="1:10" ht="12.75">
      <c r="A101" s="20" t="s">
        <v>5</v>
      </c>
      <c r="B101" s="24">
        <v>9340</v>
      </c>
      <c r="C101" s="24">
        <v>9340</v>
      </c>
      <c r="D101" s="24">
        <v>0</v>
      </c>
      <c r="E101" s="24">
        <v>0</v>
      </c>
      <c r="F101" s="24">
        <v>3740</v>
      </c>
      <c r="G101" s="24">
        <v>5600</v>
      </c>
      <c r="H101" s="24">
        <v>60</v>
      </c>
      <c r="I101" s="24">
        <v>0</v>
      </c>
      <c r="J101" s="24">
        <v>3920</v>
      </c>
    </row>
    <row r="102" spans="1:10" ht="12.75">
      <c r="A102" s="20" t="s">
        <v>17</v>
      </c>
      <c r="B102" s="24">
        <v>18150</v>
      </c>
      <c r="C102" s="24">
        <v>20550</v>
      </c>
      <c r="D102" s="24">
        <v>9120</v>
      </c>
      <c r="E102" s="24">
        <v>8260</v>
      </c>
      <c r="F102" s="24">
        <v>290</v>
      </c>
      <c r="G102" s="24">
        <v>2880</v>
      </c>
      <c r="H102" s="24">
        <v>14790</v>
      </c>
      <c r="I102" s="24">
        <v>4720</v>
      </c>
      <c r="J102" s="24">
        <v>1040</v>
      </c>
    </row>
    <row r="103" spans="1:10" ht="12.75">
      <c r="A103" s="20" t="s">
        <v>18</v>
      </c>
      <c r="B103" s="24">
        <v>101860</v>
      </c>
      <c r="C103" s="24">
        <v>102360</v>
      </c>
      <c r="D103" s="24">
        <v>0</v>
      </c>
      <c r="E103" s="24">
        <v>0</v>
      </c>
      <c r="F103" s="24">
        <v>54860</v>
      </c>
      <c r="G103" s="24">
        <v>47500</v>
      </c>
      <c r="H103" s="24">
        <v>40</v>
      </c>
      <c r="I103" s="24">
        <v>0</v>
      </c>
      <c r="J103" s="24">
        <v>79710</v>
      </c>
    </row>
    <row r="104" spans="1:10" ht="12.75">
      <c r="A104" s="20" t="s">
        <v>19</v>
      </c>
      <c r="B104" s="24">
        <v>3140</v>
      </c>
      <c r="C104" s="24">
        <v>3140</v>
      </c>
      <c r="D104" s="24">
        <v>0</v>
      </c>
      <c r="E104" s="24">
        <v>220</v>
      </c>
      <c r="F104" s="24">
        <v>510</v>
      </c>
      <c r="G104" s="24">
        <v>2410</v>
      </c>
      <c r="H104" s="24">
        <v>0</v>
      </c>
      <c r="I104" s="24">
        <v>10</v>
      </c>
      <c r="J104" s="24">
        <v>1420</v>
      </c>
    </row>
    <row r="105" spans="1:10" ht="12.75">
      <c r="A105" s="20" t="s">
        <v>20</v>
      </c>
      <c r="B105" s="24">
        <v>13250</v>
      </c>
      <c r="C105" s="24">
        <v>20350</v>
      </c>
      <c r="D105" s="24">
        <v>0.33</v>
      </c>
      <c r="E105" s="24">
        <v>0</v>
      </c>
      <c r="F105" s="24">
        <v>3910</v>
      </c>
      <c r="G105" s="24">
        <v>16439.67</v>
      </c>
      <c r="H105" s="24">
        <v>0</v>
      </c>
      <c r="I105" s="24">
        <v>0</v>
      </c>
      <c r="J105" s="24">
        <v>8110</v>
      </c>
    </row>
    <row r="106" spans="1:10" ht="12.75">
      <c r="A106" s="20" t="s">
        <v>21</v>
      </c>
      <c r="B106" s="24">
        <v>33540</v>
      </c>
      <c r="C106" s="24">
        <v>36540</v>
      </c>
      <c r="D106" s="24">
        <v>0</v>
      </c>
      <c r="E106" s="24">
        <v>0</v>
      </c>
      <c r="F106" s="24">
        <v>3330</v>
      </c>
      <c r="G106" s="24">
        <v>33210</v>
      </c>
      <c r="H106" s="24">
        <v>0</v>
      </c>
      <c r="I106" s="24">
        <v>0</v>
      </c>
      <c r="J106" s="24">
        <v>20330</v>
      </c>
    </row>
    <row r="107" spans="1:10" ht="12.75">
      <c r="A107" s="20" t="s">
        <v>22</v>
      </c>
      <c r="B107" s="24">
        <v>7110</v>
      </c>
      <c r="C107" s="24">
        <v>7110</v>
      </c>
      <c r="D107" s="24">
        <v>1420</v>
      </c>
      <c r="E107" s="24">
        <v>2760</v>
      </c>
      <c r="F107" s="24">
        <v>2890</v>
      </c>
      <c r="G107" s="24">
        <v>40</v>
      </c>
      <c r="H107" s="24">
        <v>0</v>
      </c>
      <c r="I107" s="24">
        <v>3270</v>
      </c>
      <c r="J107" s="24">
        <v>3540</v>
      </c>
    </row>
    <row r="108" spans="1:10" ht="12.75">
      <c r="A108" s="20" t="s">
        <v>23</v>
      </c>
      <c r="B108" s="24">
        <v>-660</v>
      </c>
      <c r="C108" s="24">
        <v>-660</v>
      </c>
      <c r="D108" s="24">
        <v>0</v>
      </c>
      <c r="E108" s="24">
        <v>-270</v>
      </c>
      <c r="F108" s="24">
        <v>-270</v>
      </c>
      <c r="G108" s="24">
        <v>-120</v>
      </c>
      <c r="H108" s="24">
        <v>0</v>
      </c>
      <c r="I108" s="24">
        <v>-1430</v>
      </c>
      <c r="J108" s="24">
        <v>1070</v>
      </c>
    </row>
    <row r="109" spans="1:10" ht="12.75">
      <c r="A109" s="20" t="s">
        <v>24</v>
      </c>
      <c r="B109" s="24">
        <v>7880</v>
      </c>
      <c r="C109" s="24">
        <v>8080</v>
      </c>
      <c r="D109" s="24">
        <v>0</v>
      </c>
      <c r="E109" s="24">
        <v>3690</v>
      </c>
      <c r="F109" s="24">
        <v>610</v>
      </c>
      <c r="G109" s="24">
        <v>3780</v>
      </c>
      <c r="H109" s="24">
        <v>0</v>
      </c>
      <c r="I109" s="24">
        <v>7920</v>
      </c>
      <c r="J109" s="24">
        <v>30</v>
      </c>
    </row>
    <row r="110" spans="1:10" ht="13.5" thickBot="1">
      <c r="A110" s="21" t="s">
        <v>6</v>
      </c>
      <c r="B110" s="25">
        <v>67140</v>
      </c>
      <c r="C110" s="25">
        <v>77740</v>
      </c>
      <c r="D110" s="25">
        <v>0</v>
      </c>
      <c r="E110" s="25">
        <v>39730</v>
      </c>
      <c r="F110" s="25">
        <v>38010</v>
      </c>
      <c r="G110" s="25">
        <v>0</v>
      </c>
      <c r="H110" s="25">
        <v>-3010</v>
      </c>
      <c r="I110" s="25">
        <v>33280</v>
      </c>
      <c r="J110" s="25">
        <v>109390</v>
      </c>
    </row>
    <row r="111" spans="1:10" ht="14.25" thickBot="1" thickTop="1">
      <c r="A111" s="22" t="s">
        <v>8</v>
      </c>
      <c r="B111" s="25">
        <v>308870</v>
      </c>
      <c r="C111" s="25">
        <v>332670</v>
      </c>
      <c r="D111" s="25">
        <v>21090.33</v>
      </c>
      <c r="E111" s="25">
        <v>54480</v>
      </c>
      <c r="F111" s="25">
        <v>120040</v>
      </c>
      <c r="G111" s="25">
        <v>137059.67</v>
      </c>
      <c r="H111" s="25">
        <v>30760</v>
      </c>
      <c r="I111" s="25">
        <v>47910</v>
      </c>
      <c r="J111" s="25">
        <v>236150</v>
      </c>
    </row>
    <row r="112" spans="1:10" ht="25.5" thickBot="1" thickTop="1">
      <c r="A112" s="23" t="s">
        <v>25</v>
      </c>
      <c r="B112" s="25"/>
      <c r="C112" s="25">
        <v>214799.67</v>
      </c>
      <c r="D112" s="25">
        <v>0</v>
      </c>
      <c r="E112" s="25">
        <v>109770</v>
      </c>
      <c r="F112" s="25">
        <v>105030</v>
      </c>
      <c r="G112" s="25"/>
      <c r="H112" s="25"/>
      <c r="I112" s="25"/>
      <c r="J112" s="25"/>
    </row>
    <row r="113" spans="1:10" ht="14.25" thickBot="1" thickTop="1">
      <c r="A113" s="22" t="s">
        <v>4</v>
      </c>
      <c r="B113" s="25">
        <v>308870</v>
      </c>
      <c r="C113" s="25">
        <v>332670</v>
      </c>
      <c r="D113" s="25">
        <v>21090.33</v>
      </c>
      <c r="E113" s="25">
        <v>124520</v>
      </c>
      <c r="F113" s="25">
        <v>187060</v>
      </c>
      <c r="G113" s="25">
        <v>0</v>
      </c>
      <c r="H113" s="25">
        <v>30760</v>
      </c>
      <c r="I113" s="25">
        <v>47910</v>
      </c>
      <c r="J113" s="25">
        <v>236150</v>
      </c>
    </row>
    <row r="114" ht="13.5" thickTop="1"/>
    <row r="115" spans="1:2" ht="12.75">
      <c r="A115" s="278" t="s">
        <v>512</v>
      </c>
      <c r="B115" s="3">
        <v>2007</v>
      </c>
    </row>
    <row r="117" spans="1:10" ht="12.75">
      <c r="A117" s="434" t="s">
        <v>9</v>
      </c>
      <c r="B117" s="434"/>
      <c r="C117" s="434"/>
      <c r="D117" s="434"/>
      <c r="E117" s="434"/>
      <c r="F117" s="434"/>
      <c r="G117" s="434"/>
      <c r="H117" s="434"/>
      <c r="I117" s="434"/>
      <c r="J117" s="434"/>
    </row>
    <row r="118" spans="1:10" ht="12.75" customHeight="1">
      <c r="A118" s="28">
        <v>2007</v>
      </c>
      <c r="B118" s="435" t="s">
        <v>10</v>
      </c>
      <c r="C118" s="435" t="s">
        <v>11</v>
      </c>
      <c r="D118" s="438" t="s">
        <v>12</v>
      </c>
      <c r="E118" s="439"/>
      <c r="F118" s="439"/>
      <c r="G118" s="440"/>
      <c r="H118" s="438" t="s">
        <v>3</v>
      </c>
      <c r="I118" s="439"/>
      <c r="J118" s="440"/>
    </row>
    <row r="119" spans="1:10" ht="12.75">
      <c r="A119" s="27" t="s">
        <v>7</v>
      </c>
      <c r="B119" s="436"/>
      <c r="C119" s="436"/>
      <c r="D119" s="19" t="s">
        <v>0</v>
      </c>
      <c r="E119" s="19" t="s">
        <v>13</v>
      </c>
      <c r="F119" s="19" t="s">
        <v>1</v>
      </c>
      <c r="G119" s="19" t="s">
        <v>2</v>
      </c>
      <c r="H119" s="19" t="s">
        <v>0</v>
      </c>
      <c r="I119" s="19" t="s">
        <v>13</v>
      </c>
      <c r="J119" s="19" t="s">
        <v>1</v>
      </c>
    </row>
    <row r="120" spans="1:10" ht="12.75">
      <c r="A120" s="20" t="s">
        <v>14</v>
      </c>
      <c r="B120" s="24">
        <v>44300</v>
      </c>
      <c r="C120" s="24">
        <v>44300</v>
      </c>
      <c r="D120" s="24">
        <v>9920</v>
      </c>
      <c r="E120" s="24">
        <v>0</v>
      </c>
      <c r="F120" s="24">
        <v>10900</v>
      </c>
      <c r="G120" s="24">
        <v>23480</v>
      </c>
      <c r="H120" s="24">
        <v>17780</v>
      </c>
      <c r="I120" s="24">
        <v>10</v>
      </c>
      <c r="J120" s="24">
        <v>4140</v>
      </c>
    </row>
    <row r="121" spans="1:10" ht="12.75">
      <c r="A121" s="20" t="s">
        <v>15</v>
      </c>
      <c r="B121" s="24">
        <v>2700</v>
      </c>
      <c r="C121" s="24">
        <v>2700</v>
      </c>
      <c r="D121" s="24">
        <v>2120</v>
      </c>
      <c r="E121" s="24">
        <v>140</v>
      </c>
      <c r="F121" s="24">
        <v>450</v>
      </c>
      <c r="G121" s="24">
        <v>-10</v>
      </c>
      <c r="H121" s="24">
        <v>1140</v>
      </c>
      <c r="I121" s="24">
        <v>120</v>
      </c>
      <c r="J121" s="24">
        <v>110</v>
      </c>
    </row>
    <row r="122" spans="1:10" ht="12.75">
      <c r="A122" s="20" t="s">
        <v>16</v>
      </c>
      <c r="B122" s="24">
        <v>5920</v>
      </c>
      <c r="C122" s="24">
        <v>5920</v>
      </c>
      <c r="D122" s="24">
        <v>0</v>
      </c>
      <c r="E122" s="24">
        <v>0</v>
      </c>
      <c r="F122" s="24">
        <v>1950</v>
      </c>
      <c r="G122" s="24">
        <v>3970</v>
      </c>
      <c r="H122" s="24">
        <v>340</v>
      </c>
      <c r="I122" s="24">
        <v>0</v>
      </c>
      <c r="J122" s="24">
        <v>3490</v>
      </c>
    </row>
    <row r="123" spans="1:10" ht="12.75">
      <c r="A123" s="20" t="s">
        <v>5</v>
      </c>
      <c r="B123" s="24">
        <v>9490</v>
      </c>
      <c r="C123" s="24">
        <v>9490</v>
      </c>
      <c r="D123" s="24">
        <v>0</v>
      </c>
      <c r="E123" s="24">
        <v>0</v>
      </c>
      <c r="F123" s="24">
        <v>3800</v>
      </c>
      <c r="G123" s="24">
        <v>5690</v>
      </c>
      <c r="H123" s="24">
        <v>70</v>
      </c>
      <c r="I123" s="24">
        <v>0</v>
      </c>
      <c r="J123" s="24">
        <v>4030</v>
      </c>
    </row>
    <row r="124" spans="1:10" ht="12.75">
      <c r="A124" s="20" t="s">
        <v>17</v>
      </c>
      <c r="B124" s="24">
        <v>20890</v>
      </c>
      <c r="C124" s="24">
        <v>22890</v>
      </c>
      <c r="D124" s="24">
        <v>10160</v>
      </c>
      <c r="E124" s="24">
        <v>9200</v>
      </c>
      <c r="F124" s="24">
        <v>320</v>
      </c>
      <c r="G124" s="24">
        <v>3210</v>
      </c>
      <c r="H124" s="24">
        <v>15490</v>
      </c>
      <c r="I124" s="24">
        <v>5670</v>
      </c>
      <c r="J124" s="24">
        <v>1060</v>
      </c>
    </row>
    <row r="125" spans="1:10" ht="12.75">
      <c r="A125" s="20" t="s">
        <v>18</v>
      </c>
      <c r="B125" s="24">
        <v>133350</v>
      </c>
      <c r="C125" s="24">
        <v>127550</v>
      </c>
      <c r="D125" s="24">
        <v>0</v>
      </c>
      <c r="E125" s="24">
        <v>0</v>
      </c>
      <c r="F125" s="24">
        <v>68370</v>
      </c>
      <c r="G125" s="24">
        <v>59180</v>
      </c>
      <c r="H125" s="24">
        <v>60</v>
      </c>
      <c r="I125" s="24">
        <v>0</v>
      </c>
      <c r="J125" s="24">
        <v>82810</v>
      </c>
    </row>
    <row r="126" spans="1:10" ht="12.75">
      <c r="A126" s="20" t="s">
        <v>19</v>
      </c>
      <c r="B126" s="24">
        <v>5680</v>
      </c>
      <c r="C126" s="24">
        <v>5680</v>
      </c>
      <c r="D126" s="24">
        <v>0</v>
      </c>
      <c r="E126" s="24">
        <v>390</v>
      </c>
      <c r="F126" s="24">
        <v>930</v>
      </c>
      <c r="G126" s="24">
        <v>4360</v>
      </c>
      <c r="H126" s="24">
        <v>0</v>
      </c>
      <c r="I126" s="24">
        <v>10</v>
      </c>
      <c r="J126" s="24">
        <v>1360</v>
      </c>
    </row>
    <row r="127" spans="1:10" ht="12.75">
      <c r="A127" s="20" t="s">
        <v>20</v>
      </c>
      <c r="B127" s="24">
        <v>30280</v>
      </c>
      <c r="C127" s="24">
        <v>18380</v>
      </c>
      <c r="D127" s="24">
        <v>0.33</v>
      </c>
      <c r="E127" s="24">
        <v>0</v>
      </c>
      <c r="F127" s="24">
        <v>3530</v>
      </c>
      <c r="G127" s="24">
        <v>14849.669999999998</v>
      </c>
      <c r="H127" s="24">
        <v>0</v>
      </c>
      <c r="I127" s="24">
        <v>0</v>
      </c>
      <c r="J127" s="24">
        <v>9670</v>
      </c>
    </row>
    <row r="128" spans="1:10" ht="12.75">
      <c r="A128" s="20" t="s">
        <v>21</v>
      </c>
      <c r="B128" s="24">
        <v>72140</v>
      </c>
      <c r="C128" s="24">
        <v>61740</v>
      </c>
      <c r="D128" s="24">
        <v>0</v>
      </c>
      <c r="E128" s="24">
        <v>0</v>
      </c>
      <c r="F128" s="24">
        <v>5620</v>
      </c>
      <c r="G128" s="24">
        <v>56120</v>
      </c>
      <c r="H128" s="24">
        <v>0</v>
      </c>
      <c r="I128" s="24">
        <v>0</v>
      </c>
      <c r="J128" s="24">
        <v>20410</v>
      </c>
    </row>
    <row r="129" spans="1:10" ht="12.75">
      <c r="A129" s="20" t="s">
        <v>22</v>
      </c>
      <c r="B129" s="24">
        <v>11600</v>
      </c>
      <c r="C129" s="24">
        <v>11600</v>
      </c>
      <c r="D129" s="24">
        <v>2320</v>
      </c>
      <c r="E129" s="24">
        <v>4500</v>
      </c>
      <c r="F129" s="24">
        <v>4710</v>
      </c>
      <c r="G129" s="24">
        <v>70</v>
      </c>
      <c r="H129" s="24">
        <v>0</v>
      </c>
      <c r="I129" s="24">
        <v>5450</v>
      </c>
      <c r="J129" s="24">
        <v>4920</v>
      </c>
    </row>
    <row r="130" spans="1:10" ht="12.75">
      <c r="A130" s="20" t="s">
        <v>23</v>
      </c>
      <c r="B130" s="24">
        <v>5410</v>
      </c>
      <c r="C130" s="24">
        <v>5410</v>
      </c>
      <c r="D130" s="24">
        <v>0</v>
      </c>
      <c r="E130" s="24">
        <v>2220</v>
      </c>
      <c r="F130" s="24">
        <v>2220</v>
      </c>
      <c r="G130" s="24">
        <v>970</v>
      </c>
      <c r="H130" s="24">
        <v>0</v>
      </c>
      <c r="I130" s="24">
        <v>340</v>
      </c>
      <c r="J130" s="24">
        <v>1850</v>
      </c>
    </row>
    <row r="131" spans="1:10" ht="12.75">
      <c r="A131" s="20" t="s">
        <v>24</v>
      </c>
      <c r="B131" s="24">
        <v>16070</v>
      </c>
      <c r="C131" s="24">
        <v>14470</v>
      </c>
      <c r="D131" s="24">
        <v>0</v>
      </c>
      <c r="E131" s="24">
        <v>6610</v>
      </c>
      <c r="F131" s="24">
        <v>1100</v>
      </c>
      <c r="G131" s="24">
        <v>6760</v>
      </c>
      <c r="H131" s="24">
        <v>0</v>
      </c>
      <c r="I131" s="24">
        <v>9010</v>
      </c>
      <c r="J131" s="81">
        <v>80</v>
      </c>
    </row>
    <row r="132" spans="1:10" ht="13.5" thickBot="1">
      <c r="A132" s="21" t="s">
        <v>6</v>
      </c>
      <c r="B132" s="25">
        <v>256620</v>
      </c>
      <c r="C132" s="25">
        <v>108620</v>
      </c>
      <c r="D132" s="25">
        <v>0</v>
      </c>
      <c r="E132" s="25">
        <v>55500</v>
      </c>
      <c r="F132" s="25">
        <v>53120</v>
      </c>
      <c r="G132" s="25">
        <v>0</v>
      </c>
      <c r="H132" s="25">
        <v>-2030</v>
      </c>
      <c r="I132" s="25">
        <v>35780</v>
      </c>
      <c r="J132" s="25">
        <v>108900</v>
      </c>
    </row>
    <row r="133" spans="1:10" ht="13.5" thickTop="1">
      <c r="A133" s="22" t="s">
        <v>8</v>
      </c>
      <c r="B133" s="26">
        <v>614450</v>
      </c>
      <c r="C133" s="26">
        <v>438750</v>
      </c>
      <c r="D133" s="26">
        <v>24520.33</v>
      </c>
      <c r="E133" s="26">
        <v>78560</v>
      </c>
      <c r="F133" s="26">
        <v>157020</v>
      </c>
      <c r="G133" s="26">
        <v>178649.66999999998</v>
      </c>
      <c r="H133" s="26">
        <v>32850</v>
      </c>
      <c r="I133" s="26">
        <v>56390</v>
      </c>
      <c r="J133" s="26">
        <v>242830</v>
      </c>
    </row>
    <row r="134" spans="1:10" ht="24.75" thickBot="1">
      <c r="A134" s="23" t="s">
        <v>25</v>
      </c>
      <c r="B134" s="25"/>
      <c r="C134" s="25">
        <v>287269.67</v>
      </c>
      <c r="D134" s="25">
        <v>0</v>
      </c>
      <c r="E134" s="25">
        <v>146790</v>
      </c>
      <c r="F134" s="25">
        <v>140480</v>
      </c>
      <c r="G134" s="25"/>
      <c r="H134" s="25"/>
      <c r="I134" s="25"/>
      <c r="J134" s="25"/>
    </row>
    <row r="135" spans="1:10" ht="13.5" thickTop="1">
      <c r="A135" s="22" t="s">
        <v>4</v>
      </c>
      <c r="B135" s="26">
        <v>614450</v>
      </c>
      <c r="C135" s="26">
        <v>438750</v>
      </c>
      <c r="D135" s="26">
        <v>24520.33</v>
      </c>
      <c r="E135" s="26">
        <v>169850</v>
      </c>
      <c r="F135" s="26">
        <v>244380</v>
      </c>
      <c r="G135" s="26">
        <v>0</v>
      </c>
      <c r="H135" s="26">
        <v>32850</v>
      </c>
      <c r="I135" s="26">
        <v>56390</v>
      </c>
      <c r="J135" s="26">
        <v>242830</v>
      </c>
    </row>
    <row r="137" spans="1:2" ht="12.75">
      <c r="A137" s="278" t="s">
        <v>597</v>
      </c>
      <c r="B137" s="3">
        <v>2008</v>
      </c>
    </row>
    <row r="139" spans="1:10" ht="12.75">
      <c r="A139" s="434" t="s">
        <v>9</v>
      </c>
      <c r="B139" s="434"/>
      <c r="C139" s="434"/>
      <c r="D139" s="434"/>
      <c r="E139" s="434"/>
      <c r="F139" s="434"/>
      <c r="G139" s="434"/>
      <c r="H139" s="434"/>
      <c r="I139" s="434"/>
      <c r="J139" s="434"/>
    </row>
    <row r="140" spans="1:10" ht="12.75">
      <c r="A140" s="28">
        <f>A2</f>
        <v>2008</v>
      </c>
      <c r="B140" s="435" t="s">
        <v>10</v>
      </c>
      <c r="C140" s="435" t="s">
        <v>11</v>
      </c>
      <c r="D140" s="437" t="s">
        <v>12</v>
      </c>
      <c r="E140" s="437"/>
      <c r="F140" s="437"/>
      <c r="G140" s="437"/>
      <c r="H140" s="437" t="s">
        <v>3</v>
      </c>
      <c r="I140" s="437"/>
      <c r="J140" s="437"/>
    </row>
    <row r="141" spans="1:10" ht="12.75">
      <c r="A141" s="27" t="s">
        <v>7</v>
      </c>
      <c r="B141" s="436"/>
      <c r="C141" s="436"/>
      <c r="D141" s="19" t="s">
        <v>0</v>
      </c>
      <c r="E141" s="19" t="s">
        <v>13</v>
      </c>
      <c r="F141" s="19" t="s">
        <v>1</v>
      </c>
      <c r="G141" s="19" t="s">
        <v>2</v>
      </c>
      <c r="H141" s="19" t="s">
        <v>0</v>
      </c>
      <c r="I141" s="19" t="s">
        <v>13</v>
      </c>
      <c r="J141" s="19" t="s">
        <v>1</v>
      </c>
    </row>
    <row r="142" spans="1:10" ht="12.75">
      <c r="A142" s="20" t="s">
        <v>14</v>
      </c>
      <c r="B142" s="24">
        <f>B4</f>
        <v>43740</v>
      </c>
      <c r="C142" s="24">
        <f aca="true" t="shared" si="2" ref="C142:J142">C4</f>
        <v>43740</v>
      </c>
      <c r="D142" s="24">
        <f t="shared" si="2"/>
        <v>9800</v>
      </c>
      <c r="E142" s="24">
        <f t="shared" si="2"/>
        <v>0</v>
      </c>
      <c r="F142" s="24">
        <f t="shared" si="2"/>
        <v>10760</v>
      </c>
      <c r="G142" s="24">
        <f t="shared" si="2"/>
        <v>23180</v>
      </c>
      <c r="H142" s="24">
        <f t="shared" si="2"/>
        <v>15620</v>
      </c>
      <c r="I142" s="24">
        <f t="shared" si="2"/>
        <v>20</v>
      </c>
      <c r="J142" s="24">
        <f t="shared" si="2"/>
        <v>4470</v>
      </c>
    </row>
    <row r="143" spans="1:10" ht="12.75">
      <c r="A143" s="20" t="s">
        <v>15</v>
      </c>
      <c r="B143" s="24">
        <f aca="true" t="shared" si="3" ref="B143:J143">B5</f>
        <v>3230</v>
      </c>
      <c r="C143" s="24">
        <f t="shared" si="3"/>
        <v>3230</v>
      </c>
      <c r="D143" s="24">
        <f t="shared" si="3"/>
        <v>2540</v>
      </c>
      <c r="E143" s="24">
        <f t="shared" si="3"/>
        <v>160</v>
      </c>
      <c r="F143" s="24">
        <f t="shared" si="3"/>
        <v>540</v>
      </c>
      <c r="G143" s="24">
        <f t="shared" si="3"/>
        <v>-10</v>
      </c>
      <c r="H143" s="24">
        <f t="shared" si="3"/>
        <v>1420</v>
      </c>
      <c r="I143" s="24">
        <f t="shared" si="3"/>
        <v>110</v>
      </c>
      <c r="J143" s="24">
        <f t="shared" si="3"/>
        <v>130</v>
      </c>
    </row>
    <row r="144" spans="1:10" ht="12.75">
      <c r="A144" s="20" t="s">
        <v>16</v>
      </c>
      <c r="B144" s="24">
        <f aca="true" t="shared" si="4" ref="B144:J144">B6</f>
        <v>6070</v>
      </c>
      <c r="C144" s="24">
        <f t="shared" si="4"/>
        <v>6070</v>
      </c>
      <c r="D144" s="24">
        <f t="shared" si="4"/>
        <v>0</v>
      </c>
      <c r="E144" s="24">
        <f t="shared" si="4"/>
        <v>0</v>
      </c>
      <c r="F144" s="24">
        <f t="shared" si="4"/>
        <v>2000</v>
      </c>
      <c r="G144" s="24">
        <f t="shared" si="4"/>
        <v>4070</v>
      </c>
      <c r="H144" s="24">
        <f t="shared" si="4"/>
        <v>350</v>
      </c>
      <c r="I144" s="24">
        <f t="shared" si="4"/>
        <v>0</v>
      </c>
      <c r="J144" s="24">
        <f t="shared" si="4"/>
        <v>3530</v>
      </c>
    </row>
    <row r="145" spans="1:10" ht="12.75">
      <c r="A145" s="20" t="s">
        <v>5</v>
      </c>
      <c r="B145" s="24">
        <f aca="true" t="shared" si="5" ref="B145:J145">B7</f>
        <v>9100</v>
      </c>
      <c r="C145" s="24">
        <f t="shared" si="5"/>
        <v>9100</v>
      </c>
      <c r="D145" s="24">
        <f t="shared" si="5"/>
        <v>0</v>
      </c>
      <c r="E145" s="24">
        <f t="shared" si="5"/>
        <v>0</v>
      </c>
      <c r="F145" s="24">
        <f t="shared" si="5"/>
        <v>3640</v>
      </c>
      <c r="G145" s="24">
        <f t="shared" si="5"/>
        <v>5460</v>
      </c>
      <c r="H145" s="24">
        <f t="shared" si="5"/>
        <v>80</v>
      </c>
      <c r="I145" s="24">
        <f t="shared" si="5"/>
        <v>0</v>
      </c>
      <c r="J145" s="24">
        <f t="shared" si="5"/>
        <v>4170</v>
      </c>
    </row>
    <row r="146" spans="1:10" ht="12.75">
      <c r="A146" s="20" t="s">
        <v>17</v>
      </c>
      <c r="B146" s="24">
        <f aca="true" t="shared" si="6" ref="B146:J146">B8</f>
        <v>24640</v>
      </c>
      <c r="C146" s="24">
        <f t="shared" si="6"/>
        <v>23240</v>
      </c>
      <c r="D146" s="24">
        <f t="shared" si="6"/>
        <v>10320</v>
      </c>
      <c r="E146" s="24">
        <f t="shared" si="6"/>
        <v>9340</v>
      </c>
      <c r="F146" s="24">
        <f t="shared" si="6"/>
        <v>330</v>
      </c>
      <c r="G146" s="24">
        <f t="shared" si="6"/>
        <v>3250</v>
      </c>
      <c r="H146" s="24">
        <f t="shared" si="6"/>
        <v>14920</v>
      </c>
      <c r="I146" s="24">
        <f t="shared" si="6"/>
        <v>5870</v>
      </c>
      <c r="J146" s="24">
        <f t="shared" si="6"/>
        <v>1030</v>
      </c>
    </row>
    <row r="147" spans="1:10" ht="12.75">
      <c r="A147" s="20" t="s">
        <v>18</v>
      </c>
      <c r="B147" s="24">
        <f aca="true" t="shared" si="7" ref="B147:J147">B9</f>
        <v>112350</v>
      </c>
      <c r="C147" s="24">
        <f t="shared" si="7"/>
        <v>113850</v>
      </c>
      <c r="D147" s="24">
        <f t="shared" si="7"/>
        <v>0</v>
      </c>
      <c r="E147" s="24">
        <f t="shared" si="7"/>
        <v>0</v>
      </c>
      <c r="F147" s="24">
        <f t="shared" si="7"/>
        <v>61020</v>
      </c>
      <c r="G147" s="24">
        <f t="shared" si="7"/>
        <v>52830</v>
      </c>
      <c r="H147" s="24">
        <f t="shared" si="7"/>
        <v>350</v>
      </c>
      <c r="I147" s="24">
        <f t="shared" si="7"/>
        <v>0</v>
      </c>
      <c r="J147" s="24">
        <f t="shared" si="7"/>
        <v>80280</v>
      </c>
    </row>
    <row r="148" spans="1:10" ht="12.75">
      <c r="A148" s="20" t="s">
        <v>19</v>
      </c>
      <c r="B148" s="24">
        <f aca="true" t="shared" si="8" ref="B148:J148">B10</f>
        <v>3840</v>
      </c>
      <c r="C148" s="24">
        <f t="shared" si="8"/>
        <v>3840</v>
      </c>
      <c r="D148" s="24">
        <f t="shared" si="8"/>
        <v>0</v>
      </c>
      <c r="E148" s="24">
        <f t="shared" si="8"/>
        <v>260</v>
      </c>
      <c r="F148" s="24">
        <f t="shared" si="8"/>
        <v>630</v>
      </c>
      <c r="G148" s="24">
        <f t="shared" si="8"/>
        <v>2950</v>
      </c>
      <c r="H148" s="24">
        <f t="shared" si="8"/>
        <v>0</v>
      </c>
      <c r="I148" s="24">
        <f t="shared" si="8"/>
        <v>10</v>
      </c>
      <c r="J148" s="24">
        <f t="shared" si="8"/>
        <v>1290</v>
      </c>
    </row>
    <row r="149" spans="1:10" ht="12.75">
      <c r="A149" s="20" t="s">
        <v>20</v>
      </c>
      <c r="B149" s="24">
        <f aca="true" t="shared" si="9" ref="B149:J149">B11</f>
        <v>27950</v>
      </c>
      <c r="C149" s="24">
        <f t="shared" si="9"/>
        <v>26450</v>
      </c>
      <c r="D149" s="24">
        <f t="shared" si="9"/>
        <v>0.33</v>
      </c>
      <c r="E149" s="24">
        <f t="shared" si="9"/>
        <v>0</v>
      </c>
      <c r="F149" s="24">
        <f t="shared" si="9"/>
        <v>5080</v>
      </c>
      <c r="G149" s="24">
        <f t="shared" si="9"/>
        <v>21369.67</v>
      </c>
      <c r="H149" s="24">
        <f t="shared" si="9"/>
        <v>0</v>
      </c>
      <c r="I149" s="24">
        <f t="shared" si="9"/>
        <v>0</v>
      </c>
      <c r="J149" s="24">
        <f t="shared" si="9"/>
        <v>9310</v>
      </c>
    </row>
    <row r="150" spans="1:10" ht="12.75">
      <c r="A150" s="20" t="s">
        <v>21</v>
      </c>
      <c r="B150" s="24">
        <f aca="true" t="shared" si="10" ref="B150:J150">B12</f>
        <v>75820</v>
      </c>
      <c r="C150" s="24">
        <f t="shared" si="10"/>
        <v>76820</v>
      </c>
      <c r="D150" s="24">
        <f t="shared" si="10"/>
        <v>0</v>
      </c>
      <c r="E150" s="24">
        <f t="shared" si="10"/>
        <v>0</v>
      </c>
      <c r="F150" s="24">
        <f t="shared" si="10"/>
        <v>6990</v>
      </c>
      <c r="G150" s="24">
        <f t="shared" si="10"/>
        <v>69830</v>
      </c>
      <c r="H150" s="24">
        <f t="shared" si="10"/>
        <v>0</v>
      </c>
      <c r="I150" s="24">
        <f t="shared" si="10"/>
        <v>0</v>
      </c>
      <c r="J150" s="24">
        <f t="shared" si="10"/>
        <v>19730</v>
      </c>
    </row>
    <row r="151" spans="1:10" ht="12.75">
      <c r="A151" s="20" t="s">
        <v>22</v>
      </c>
      <c r="B151" s="24">
        <f aca="true" t="shared" si="11" ref="B151:J151">B13</f>
        <v>14190</v>
      </c>
      <c r="C151" s="24">
        <f t="shared" si="11"/>
        <v>14190</v>
      </c>
      <c r="D151" s="24">
        <f t="shared" si="11"/>
        <v>2840</v>
      </c>
      <c r="E151" s="24">
        <f t="shared" si="11"/>
        <v>5510</v>
      </c>
      <c r="F151" s="24">
        <f t="shared" si="11"/>
        <v>5760</v>
      </c>
      <c r="G151" s="24">
        <f t="shared" si="11"/>
        <v>80</v>
      </c>
      <c r="H151" s="24">
        <f t="shared" si="11"/>
        <v>0</v>
      </c>
      <c r="I151" s="24">
        <f t="shared" si="11"/>
        <v>7030</v>
      </c>
      <c r="J151" s="24">
        <f t="shared" si="11"/>
        <v>5940</v>
      </c>
    </row>
    <row r="152" spans="1:10" ht="12.75">
      <c r="A152" s="20" t="s">
        <v>23</v>
      </c>
      <c r="B152" s="24">
        <f aca="true" t="shared" si="12" ref="B152:J152">B14</f>
        <v>11990</v>
      </c>
      <c r="C152" s="24">
        <f t="shared" si="12"/>
        <v>11990</v>
      </c>
      <c r="D152" s="24">
        <f t="shared" si="12"/>
        <v>0</v>
      </c>
      <c r="E152" s="24">
        <f t="shared" si="12"/>
        <v>4930</v>
      </c>
      <c r="F152" s="24">
        <f t="shared" si="12"/>
        <v>4930</v>
      </c>
      <c r="G152" s="24">
        <f t="shared" si="12"/>
        <v>2130</v>
      </c>
      <c r="H152" s="24">
        <f t="shared" si="12"/>
        <v>0</v>
      </c>
      <c r="I152" s="24">
        <f t="shared" si="12"/>
        <v>2440</v>
      </c>
      <c r="J152" s="24">
        <f t="shared" si="12"/>
        <v>3020</v>
      </c>
    </row>
    <row r="153" spans="1:10" ht="12.75">
      <c r="A153" s="20" t="s">
        <v>24</v>
      </c>
      <c r="B153" s="24">
        <f aca="true" t="shared" si="13" ref="B153:J153">B15</f>
        <v>26310</v>
      </c>
      <c r="C153" s="24">
        <f t="shared" si="13"/>
        <v>19710</v>
      </c>
      <c r="D153" s="24">
        <f t="shared" si="13"/>
        <v>0</v>
      </c>
      <c r="E153" s="24">
        <f t="shared" si="13"/>
        <v>9010</v>
      </c>
      <c r="F153" s="24">
        <f t="shared" si="13"/>
        <v>1500</v>
      </c>
      <c r="G153" s="24">
        <f t="shared" si="13"/>
        <v>9200</v>
      </c>
      <c r="H153" s="24">
        <f t="shared" si="13"/>
        <v>0</v>
      </c>
      <c r="I153" s="24">
        <f t="shared" si="13"/>
        <v>12180</v>
      </c>
      <c r="J153" s="24">
        <f t="shared" si="13"/>
        <v>110</v>
      </c>
    </row>
    <row r="154" spans="1:10" ht="13.5" thickBot="1">
      <c r="A154" s="21" t="s">
        <v>6</v>
      </c>
      <c r="B154" s="24">
        <f aca="true" t="shared" si="14" ref="B154:J154">B16</f>
        <v>296290</v>
      </c>
      <c r="C154" s="24">
        <f t="shared" si="14"/>
        <v>225590</v>
      </c>
      <c r="D154" s="24">
        <f t="shared" si="14"/>
        <v>0</v>
      </c>
      <c r="E154" s="24">
        <f t="shared" si="14"/>
        <v>115280</v>
      </c>
      <c r="F154" s="24">
        <f t="shared" si="14"/>
        <v>110310</v>
      </c>
      <c r="G154" s="24">
        <f t="shared" si="14"/>
        <v>0</v>
      </c>
      <c r="H154" s="24">
        <f t="shared" si="14"/>
        <v>-2180</v>
      </c>
      <c r="I154" s="24">
        <f t="shared" si="14"/>
        <v>20150</v>
      </c>
      <c r="J154" s="24">
        <f t="shared" si="14"/>
        <v>115860</v>
      </c>
    </row>
    <row r="155" spans="1:10" ht="13.5" thickTop="1">
      <c r="A155" s="22" t="s">
        <v>8</v>
      </c>
      <c r="B155" s="24">
        <f aca="true" t="shared" si="15" ref="B155:J157">B17</f>
        <v>655520</v>
      </c>
      <c r="C155" s="24">
        <f t="shared" si="15"/>
        <v>577820</v>
      </c>
      <c r="D155" s="24">
        <f t="shared" si="15"/>
        <v>25500.33</v>
      </c>
      <c r="E155" s="24">
        <f t="shared" si="15"/>
        <v>144490</v>
      </c>
      <c r="F155" s="24">
        <f t="shared" si="15"/>
        <v>213490</v>
      </c>
      <c r="G155" s="24">
        <f t="shared" si="15"/>
        <v>194339.66999999998</v>
      </c>
      <c r="H155" s="24">
        <f t="shared" si="15"/>
        <v>30560</v>
      </c>
      <c r="I155" s="24">
        <f t="shared" si="15"/>
        <v>47810</v>
      </c>
      <c r="J155" s="24">
        <f t="shared" si="15"/>
        <v>248870</v>
      </c>
    </row>
    <row r="156" spans="1:10" ht="24.75" thickBot="1">
      <c r="A156" s="23" t="s">
        <v>25</v>
      </c>
      <c r="B156" s="25"/>
      <c r="C156" s="24">
        <f t="shared" si="15"/>
        <v>419929.67</v>
      </c>
      <c r="D156" s="24">
        <f t="shared" si="15"/>
        <v>0</v>
      </c>
      <c r="E156" s="24">
        <f t="shared" si="15"/>
        <v>214590</v>
      </c>
      <c r="F156" s="24">
        <f t="shared" si="15"/>
        <v>205340</v>
      </c>
      <c r="G156" s="25"/>
      <c r="H156" s="25"/>
      <c r="I156" s="25"/>
      <c r="J156" s="25"/>
    </row>
    <row r="157" spans="1:10" ht="13.5" thickTop="1">
      <c r="A157" s="22" t="s">
        <v>4</v>
      </c>
      <c r="B157" s="24">
        <f t="shared" si="15"/>
        <v>655520</v>
      </c>
      <c r="C157" s="24">
        <f t="shared" si="15"/>
        <v>577820</v>
      </c>
      <c r="D157" s="24">
        <f t="shared" si="15"/>
        <v>25500.33</v>
      </c>
      <c r="E157" s="24">
        <f t="shared" si="15"/>
        <v>243800</v>
      </c>
      <c r="F157" s="24">
        <f t="shared" si="15"/>
        <v>308520</v>
      </c>
      <c r="G157" s="24">
        <f t="shared" si="15"/>
        <v>0</v>
      </c>
      <c r="H157" s="24">
        <f t="shared" si="15"/>
        <v>30560</v>
      </c>
      <c r="I157" s="24">
        <f t="shared" si="15"/>
        <v>47810</v>
      </c>
      <c r="J157" s="24">
        <f t="shared" si="15"/>
        <v>248870</v>
      </c>
    </row>
  </sheetData>
  <sheetProtection/>
  <mergeCells count="35">
    <mergeCell ref="B118:B119"/>
    <mergeCell ref="C118:C119"/>
    <mergeCell ref="D118:G118"/>
    <mergeCell ref="H118:J118"/>
    <mergeCell ref="A95:J95"/>
    <mergeCell ref="B96:B97"/>
    <mergeCell ref="C96:C97"/>
    <mergeCell ref="D96:G96"/>
    <mergeCell ref="H96:J96"/>
    <mergeCell ref="A117:J117"/>
    <mergeCell ref="B52:B53"/>
    <mergeCell ref="C52:C53"/>
    <mergeCell ref="D52:G52"/>
    <mergeCell ref="H52:J52"/>
    <mergeCell ref="A73:J73"/>
    <mergeCell ref="B74:B75"/>
    <mergeCell ref="C74:C75"/>
    <mergeCell ref="D74:G74"/>
    <mergeCell ref="H74:J74"/>
    <mergeCell ref="A139:J139"/>
    <mergeCell ref="B140:B141"/>
    <mergeCell ref="C140:C141"/>
    <mergeCell ref="D140:G140"/>
    <mergeCell ref="H140:J140"/>
    <mergeCell ref="A1:J1"/>
    <mergeCell ref="B2:B3"/>
    <mergeCell ref="C2:C3"/>
    <mergeCell ref="D2:G2"/>
    <mergeCell ref="H2:J2"/>
    <mergeCell ref="A29:J29"/>
    <mergeCell ref="B30:B31"/>
    <mergeCell ref="C30:C31"/>
    <mergeCell ref="D30:G30"/>
    <mergeCell ref="H30:J30"/>
    <mergeCell ref="A51:J51"/>
  </mergeCells>
  <printOptions/>
  <pageMargins left="0.75" right="0.75" top="1" bottom="1" header="0.5" footer="0.5"/>
  <pageSetup fitToHeight="1" fitToWidth="1" horizontalDpi="600" verticalDpi="600" orientation="landscape" scale="89" r:id="rId1"/>
  <headerFooter alignWithMargins="0">
    <oddHeader>&amp;LRRCA
Compact Accounting without non-federal reservoir evaporation below Harlan County and the Kansas Proposal for the Harlan County Net Evaporation Split
</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I24" sqref="I24"/>
    </sheetView>
  </sheetViews>
  <sheetFormatPr defaultColWidth="9.140625" defaultRowHeight="12.75"/>
  <cols>
    <col min="1" max="1" width="14.57421875" style="0" customWidth="1"/>
    <col min="2" max="3" width="9.140625" style="33" customWidth="1"/>
    <col min="4" max="4" width="9.140625" style="7" customWidth="1"/>
    <col min="5" max="5" width="9.140625" style="33" customWidth="1"/>
    <col min="6" max="6" width="9.140625" style="7" customWidth="1"/>
    <col min="7" max="7" width="9.140625" style="33" customWidth="1"/>
    <col min="8" max="8" width="9.140625" style="7" customWidth="1"/>
    <col min="9" max="9" width="10.421875" style="33" customWidth="1"/>
    <col min="10" max="10" width="9.140625" style="7" customWidth="1"/>
  </cols>
  <sheetData>
    <row r="1" spans="1:10" ht="12.75">
      <c r="A1" s="441" t="s">
        <v>26</v>
      </c>
      <c r="B1" s="441"/>
      <c r="C1" s="441"/>
      <c r="D1" s="441"/>
      <c r="E1" s="441"/>
      <c r="F1" s="441"/>
      <c r="G1" s="441"/>
      <c r="H1" s="441"/>
      <c r="I1" s="441"/>
      <c r="J1" s="441"/>
    </row>
    <row r="2" spans="1:10" ht="36">
      <c r="A2" s="30" t="s">
        <v>7</v>
      </c>
      <c r="B2" s="32" t="s">
        <v>10</v>
      </c>
      <c r="C2" s="32" t="s">
        <v>27</v>
      </c>
      <c r="D2" s="34" t="s">
        <v>28</v>
      </c>
      <c r="E2" s="32" t="s">
        <v>29</v>
      </c>
      <c r="F2" s="34" t="s">
        <v>28</v>
      </c>
      <c r="G2" s="32" t="s">
        <v>30</v>
      </c>
      <c r="H2" s="34" t="s">
        <v>28</v>
      </c>
      <c r="I2" s="32" t="s">
        <v>2</v>
      </c>
      <c r="J2" s="34" t="s">
        <v>28</v>
      </c>
    </row>
    <row r="3" spans="1:10" ht="19.5" customHeight="1">
      <c r="A3" s="20" t="s">
        <v>14</v>
      </c>
      <c r="B3" s="24">
        <v>44700</v>
      </c>
      <c r="C3" s="24">
        <v>10000</v>
      </c>
      <c r="D3" s="35">
        <v>0.224</v>
      </c>
      <c r="E3" s="24"/>
      <c r="F3" s="35"/>
      <c r="G3" s="24">
        <v>11000</v>
      </c>
      <c r="H3" s="35">
        <v>0.246</v>
      </c>
      <c r="I3" s="24">
        <v>23700</v>
      </c>
      <c r="J3" s="35">
        <v>0.53</v>
      </c>
    </row>
    <row r="4" spans="1:10" ht="19.5" customHeight="1">
      <c r="A4" s="20" t="s">
        <v>15</v>
      </c>
      <c r="B4" s="24">
        <v>19610</v>
      </c>
      <c r="C4" s="24">
        <v>15400</v>
      </c>
      <c r="D4" s="35">
        <v>0.785</v>
      </c>
      <c r="E4" s="24">
        <v>1000</v>
      </c>
      <c r="F4" s="35">
        <v>0.051</v>
      </c>
      <c r="G4" s="24">
        <v>3300</v>
      </c>
      <c r="H4" s="35">
        <v>0.168</v>
      </c>
      <c r="I4" s="24">
        <v>-90</v>
      </c>
      <c r="J4" s="35">
        <v>-0.004</v>
      </c>
    </row>
    <row r="5" spans="1:10" ht="19.5" customHeight="1">
      <c r="A5" s="20" t="s">
        <v>16</v>
      </c>
      <c r="B5" s="24">
        <v>7890</v>
      </c>
      <c r="C5" s="24"/>
      <c r="D5" s="35"/>
      <c r="E5" s="24"/>
      <c r="F5" s="35"/>
      <c r="G5" s="24">
        <v>2600</v>
      </c>
      <c r="H5" s="35">
        <v>0.33</v>
      </c>
      <c r="I5" s="24">
        <v>5290</v>
      </c>
      <c r="J5" s="35">
        <v>0.67</v>
      </c>
    </row>
    <row r="6" spans="1:10" ht="19.5" customHeight="1">
      <c r="A6" s="20" t="s">
        <v>5</v>
      </c>
      <c r="B6" s="24">
        <v>11000</v>
      </c>
      <c r="C6" s="24"/>
      <c r="D6" s="35"/>
      <c r="E6" s="24"/>
      <c r="F6" s="35"/>
      <c r="G6" s="24">
        <v>4400</v>
      </c>
      <c r="H6" s="35">
        <v>0.4</v>
      </c>
      <c r="I6" s="24">
        <v>6600</v>
      </c>
      <c r="J6" s="35">
        <v>0.6</v>
      </c>
    </row>
    <row r="7" spans="1:10" ht="19.5" customHeight="1">
      <c r="A7" s="20" t="s">
        <v>17</v>
      </c>
      <c r="B7" s="24">
        <v>57200</v>
      </c>
      <c r="C7" s="24">
        <v>25400</v>
      </c>
      <c r="D7" s="35">
        <v>0.444</v>
      </c>
      <c r="E7" s="24">
        <v>23000</v>
      </c>
      <c r="F7" s="35">
        <v>0.402</v>
      </c>
      <c r="G7" s="24">
        <v>800</v>
      </c>
      <c r="H7" s="35">
        <v>0.014</v>
      </c>
      <c r="I7" s="24">
        <v>8000</v>
      </c>
      <c r="J7" s="35">
        <v>0.14</v>
      </c>
    </row>
    <row r="8" spans="1:10" ht="19.5" customHeight="1">
      <c r="A8" s="20" t="s">
        <v>18</v>
      </c>
      <c r="B8" s="24">
        <v>98500</v>
      </c>
      <c r="C8" s="24"/>
      <c r="D8" s="35"/>
      <c r="E8" s="24"/>
      <c r="F8" s="35"/>
      <c r="G8" s="24">
        <v>52800</v>
      </c>
      <c r="H8" s="35">
        <v>0.536</v>
      </c>
      <c r="I8" s="24">
        <v>45700</v>
      </c>
      <c r="J8" s="35">
        <v>0.464</v>
      </c>
    </row>
    <row r="9" spans="1:10" ht="19.5" customHeight="1">
      <c r="A9" s="20" t="s">
        <v>19</v>
      </c>
      <c r="B9" s="24">
        <v>7300</v>
      </c>
      <c r="C9" s="24"/>
      <c r="D9" s="35"/>
      <c r="E9" s="24">
        <v>500</v>
      </c>
      <c r="F9" s="35">
        <v>0.069</v>
      </c>
      <c r="G9" s="24">
        <v>1200</v>
      </c>
      <c r="H9" s="35">
        <v>0.164</v>
      </c>
      <c r="I9" s="24">
        <v>5600</v>
      </c>
      <c r="J9" s="35">
        <v>0.767</v>
      </c>
    </row>
    <row r="10" spans="1:10" ht="19.5" customHeight="1">
      <c r="A10" s="20" t="s">
        <v>20</v>
      </c>
      <c r="B10" s="24">
        <v>21900</v>
      </c>
      <c r="C10" s="24"/>
      <c r="D10" s="35"/>
      <c r="E10" s="24"/>
      <c r="F10" s="35"/>
      <c r="G10" s="24">
        <v>4200</v>
      </c>
      <c r="H10" s="35">
        <v>0.192</v>
      </c>
      <c r="I10" s="24">
        <v>17700</v>
      </c>
      <c r="J10" s="35">
        <v>0.808</v>
      </c>
    </row>
    <row r="11" spans="1:10" ht="19.5" customHeight="1">
      <c r="A11" s="20" t="s">
        <v>21</v>
      </c>
      <c r="B11" s="24">
        <v>50800</v>
      </c>
      <c r="C11" s="24"/>
      <c r="D11" s="35"/>
      <c r="E11" s="24"/>
      <c r="F11" s="35"/>
      <c r="G11" s="24">
        <v>4600</v>
      </c>
      <c r="H11" s="35">
        <v>0.091</v>
      </c>
      <c r="I11" s="24">
        <v>46200</v>
      </c>
      <c r="J11" s="35">
        <v>0.909</v>
      </c>
    </row>
    <row r="12" spans="1:10" ht="19.5" customHeight="1">
      <c r="A12" s="20" t="s">
        <v>22</v>
      </c>
      <c r="B12" s="24">
        <v>16500</v>
      </c>
      <c r="C12" s="24">
        <v>3300</v>
      </c>
      <c r="D12" s="35">
        <v>0.2</v>
      </c>
      <c r="E12" s="24">
        <v>6400</v>
      </c>
      <c r="F12" s="35">
        <v>0.388</v>
      </c>
      <c r="G12" s="24">
        <v>6700</v>
      </c>
      <c r="H12" s="35">
        <v>0.406</v>
      </c>
      <c r="I12" s="24">
        <v>100</v>
      </c>
      <c r="J12" s="35">
        <v>0.006</v>
      </c>
    </row>
    <row r="13" spans="1:10" ht="19.5" customHeight="1">
      <c r="A13" s="20" t="s">
        <v>23</v>
      </c>
      <c r="B13" s="24">
        <v>21400</v>
      </c>
      <c r="C13" s="24"/>
      <c r="D13" s="35"/>
      <c r="E13" s="24">
        <v>8800</v>
      </c>
      <c r="F13" s="35">
        <v>0.411</v>
      </c>
      <c r="G13" s="24">
        <v>8800</v>
      </c>
      <c r="H13" s="35">
        <v>0.411</v>
      </c>
      <c r="I13" s="24">
        <v>3800</v>
      </c>
      <c r="J13" s="35">
        <v>0.178</v>
      </c>
    </row>
    <row r="14" spans="1:10" ht="19.5" customHeight="1">
      <c r="A14" s="20" t="s">
        <v>24</v>
      </c>
      <c r="B14" s="24">
        <v>27600</v>
      </c>
      <c r="C14" s="24"/>
      <c r="D14" s="35"/>
      <c r="E14" s="24">
        <v>12600</v>
      </c>
      <c r="F14" s="35">
        <v>0.457</v>
      </c>
      <c r="G14" s="24">
        <v>2100</v>
      </c>
      <c r="H14" s="35">
        <v>0.076</v>
      </c>
      <c r="I14" s="24">
        <v>12900</v>
      </c>
      <c r="J14" s="35">
        <v>0.467</v>
      </c>
    </row>
    <row r="15" spans="1:10" ht="30" customHeight="1">
      <c r="A15" s="31" t="s">
        <v>32</v>
      </c>
      <c r="B15" s="24">
        <v>384000</v>
      </c>
      <c r="C15" s="24"/>
      <c r="D15" s="35"/>
      <c r="E15" s="24"/>
      <c r="F15" s="35"/>
      <c r="G15" s="24"/>
      <c r="H15" s="35"/>
      <c r="I15" s="24">
        <v>175500</v>
      </c>
      <c r="J15" s="35"/>
    </row>
    <row r="16" spans="1:10" ht="19.5" customHeight="1">
      <c r="A16" s="20" t="s">
        <v>6</v>
      </c>
      <c r="B16" s="24">
        <v>94500</v>
      </c>
      <c r="C16" s="24"/>
      <c r="D16" s="35"/>
      <c r="E16" s="24"/>
      <c r="F16" s="35"/>
      <c r="G16" s="24"/>
      <c r="H16" s="35"/>
      <c r="I16" s="24"/>
      <c r="J16" s="35"/>
    </row>
    <row r="17" spans="1:10" ht="30" customHeight="1" thickBot="1">
      <c r="A17" s="23" t="s">
        <v>31</v>
      </c>
      <c r="B17" s="25">
        <v>270000</v>
      </c>
      <c r="C17" s="25"/>
      <c r="D17" s="36"/>
      <c r="E17" s="25">
        <v>138000</v>
      </c>
      <c r="F17" s="36">
        <v>0.511</v>
      </c>
      <c r="G17" s="25">
        <v>132000</v>
      </c>
      <c r="H17" s="36">
        <v>0.489</v>
      </c>
      <c r="I17" s="25"/>
      <c r="J17" s="36"/>
    </row>
    <row r="18" spans="1:10" ht="19.5" customHeight="1" thickTop="1">
      <c r="A18" s="22" t="s">
        <v>4</v>
      </c>
      <c r="B18" s="26">
        <v>478900</v>
      </c>
      <c r="C18" s="26">
        <v>54100</v>
      </c>
      <c r="D18" s="37"/>
      <c r="E18" s="26">
        <v>190300</v>
      </c>
      <c r="F18" s="37"/>
      <c r="G18" s="26">
        <v>234500</v>
      </c>
      <c r="H18" s="37"/>
      <c r="I18" s="26"/>
      <c r="J18" s="37"/>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28">
    <pageSetUpPr fitToPage="1"/>
  </sheetPr>
  <dimension ref="A1:S58"/>
  <sheetViews>
    <sheetView zoomScalePageLayoutView="0" workbookViewId="0" topLeftCell="A13">
      <selection activeCell="E24" sqref="E24"/>
    </sheetView>
  </sheetViews>
  <sheetFormatPr defaultColWidth="31.7109375" defaultRowHeight="12.75"/>
  <cols>
    <col min="1" max="1" width="12.7109375" style="50" customWidth="1"/>
    <col min="2" max="2" width="11.28125" style="50" customWidth="1"/>
    <col min="3" max="3" width="12.8515625" style="50" customWidth="1"/>
    <col min="4" max="4" width="14.57421875" style="50" customWidth="1"/>
    <col min="5" max="5" width="13.00390625" style="50" customWidth="1"/>
    <col min="6" max="6" width="15.00390625" style="50" customWidth="1"/>
    <col min="7" max="7" width="9.140625" style="50" bestFit="1" customWidth="1"/>
    <col min="8" max="8" width="8.00390625" style="50" bestFit="1" customWidth="1"/>
    <col min="9" max="9" width="10.00390625" style="50" bestFit="1" customWidth="1"/>
    <col min="10" max="10" width="12.7109375" style="50" customWidth="1"/>
    <col min="11" max="12" width="15.7109375" style="50" customWidth="1"/>
    <col min="13" max="13" width="31.7109375" style="50" customWidth="1"/>
    <col min="14" max="18" width="15.7109375" style="50" customWidth="1"/>
    <col min="19" max="16384" width="31.7109375" style="50" customWidth="1"/>
  </cols>
  <sheetData>
    <row r="1" spans="1:15" ht="24.75" customHeight="1">
      <c r="A1" s="442" t="s">
        <v>33</v>
      </c>
      <c r="B1" s="442"/>
      <c r="C1" s="442"/>
      <c r="D1" s="442"/>
      <c r="E1" s="442"/>
      <c r="F1" s="375"/>
      <c r="G1" s="375"/>
      <c r="H1" s="375"/>
      <c r="I1" s="375"/>
      <c r="J1" s="432" t="s">
        <v>693</v>
      </c>
      <c r="O1" s="433" t="s">
        <v>695</v>
      </c>
    </row>
    <row r="2" spans="1:18" ht="51">
      <c r="A2" s="39" t="s">
        <v>34</v>
      </c>
      <c r="B2" s="39" t="s">
        <v>35</v>
      </c>
      <c r="C2" s="39" t="s">
        <v>3</v>
      </c>
      <c r="D2" s="39" t="s">
        <v>36</v>
      </c>
      <c r="E2" s="374" t="s">
        <v>471</v>
      </c>
      <c r="F2" s="374" t="s">
        <v>651</v>
      </c>
      <c r="G2" s="375"/>
      <c r="H2" s="375"/>
      <c r="I2" s="375"/>
      <c r="J2" s="375" t="s">
        <v>35</v>
      </c>
      <c r="K2" s="375" t="s">
        <v>3</v>
      </c>
      <c r="L2" s="50" t="s">
        <v>36</v>
      </c>
      <c r="M2" s="50" t="s">
        <v>471</v>
      </c>
      <c r="O2" s="375" t="s">
        <v>35</v>
      </c>
      <c r="P2" s="375" t="s">
        <v>3</v>
      </c>
      <c r="Q2" s="50" t="s">
        <v>36</v>
      </c>
      <c r="R2" s="50" t="s">
        <v>471</v>
      </c>
    </row>
    <row r="3" spans="1:18" ht="15" customHeight="1">
      <c r="A3" s="65">
        <v>2003</v>
      </c>
      <c r="B3" s="66">
        <f>'T1'!D47</f>
        <v>21420</v>
      </c>
      <c r="C3" s="66">
        <f>'T1'!H47</f>
        <v>33470</v>
      </c>
      <c r="D3" s="66" t="s">
        <v>361</v>
      </c>
      <c r="E3" s="251">
        <f>+B3-C3</f>
        <v>-12050</v>
      </c>
      <c r="F3" s="373"/>
      <c r="G3" s="376"/>
      <c r="H3" s="376"/>
      <c r="I3" s="376"/>
      <c r="J3" s="376"/>
      <c r="K3" s="376"/>
      <c r="O3" s="305"/>
      <c r="P3" s="305"/>
      <c r="Q3" s="305"/>
      <c r="R3" s="305"/>
    </row>
    <row r="4" spans="1:18" ht="15" customHeight="1">
      <c r="A4" s="65">
        <f>A3+1</f>
        <v>2004</v>
      </c>
      <c r="B4" s="66">
        <f>'T1'!D69</f>
        <v>21540</v>
      </c>
      <c r="C4" s="66">
        <f>'T1'!H69</f>
        <v>33670</v>
      </c>
      <c r="D4" s="66" t="s">
        <v>361</v>
      </c>
      <c r="E4" s="251">
        <v>-12130</v>
      </c>
      <c r="F4" s="373"/>
      <c r="G4" s="376"/>
      <c r="H4" s="376"/>
      <c r="I4" s="376"/>
      <c r="J4" s="376"/>
      <c r="K4" s="376"/>
      <c r="O4" s="305"/>
      <c r="P4" s="305"/>
      <c r="Q4" s="305"/>
      <c r="R4" s="305"/>
    </row>
    <row r="5" spans="1:18" ht="15" customHeight="1">
      <c r="A5" s="65">
        <f>A4+1</f>
        <v>2005</v>
      </c>
      <c r="B5" s="282">
        <f>'T1'!D91</f>
        <v>25040</v>
      </c>
      <c r="C5" s="282">
        <f>'T1'!H91</f>
        <v>35460</v>
      </c>
      <c r="D5" s="282" t="s">
        <v>361</v>
      </c>
      <c r="E5" s="283">
        <f>+B5-C5</f>
        <v>-10420</v>
      </c>
      <c r="F5" s="373"/>
      <c r="G5" s="376"/>
      <c r="H5" s="376"/>
      <c r="I5" s="376"/>
      <c r="J5" s="376"/>
      <c r="K5" s="376"/>
      <c r="O5" s="305"/>
      <c r="P5" s="305"/>
      <c r="Q5" s="305"/>
      <c r="R5" s="305"/>
    </row>
    <row r="6" spans="1:18" ht="15" customHeight="1">
      <c r="A6" s="65">
        <f>A5+1</f>
        <v>2006</v>
      </c>
      <c r="B6" s="66">
        <f>'T1'!D113</f>
        <v>21090.33</v>
      </c>
      <c r="C6" s="282">
        <f>'T1'!H113</f>
        <v>30760</v>
      </c>
      <c r="D6" s="66" t="s">
        <v>361</v>
      </c>
      <c r="E6" s="283">
        <f>+B6-C6</f>
        <v>-9669.669999999998</v>
      </c>
      <c r="F6" s="373"/>
      <c r="G6" s="376"/>
      <c r="H6" s="376"/>
      <c r="I6" s="376"/>
      <c r="J6" s="376"/>
      <c r="K6" s="376"/>
      <c r="O6" s="305"/>
      <c r="P6" s="305"/>
      <c r="Q6" s="305"/>
      <c r="R6" s="305"/>
    </row>
    <row r="7" spans="1:18" ht="15" customHeight="1">
      <c r="A7" s="65">
        <f>A6+1</f>
        <v>2007</v>
      </c>
      <c r="B7" s="66">
        <f>'T1'!D135</f>
        <v>24520.33</v>
      </c>
      <c r="C7" s="282">
        <f>'T1'!H135</f>
        <v>32850</v>
      </c>
      <c r="D7" s="66" t="s">
        <v>361</v>
      </c>
      <c r="E7" s="283">
        <f>+B7-C7</f>
        <v>-8329.669999999998</v>
      </c>
      <c r="O7" s="305"/>
      <c r="P7" s="305"/>
      <c r="Q7" s="305"/>
      <c r="R7" s="305"/>
    </row>
    <row r="8" spans="1:18" ht="15" customHeight="1" thickBot="1">
      <c r="A8" s="380">
        <v>2008</v>
      </c>
      <c r="B8" s="67">
        <f>'T1'!D19</f>
        <v>25500.33</v>
      </c>
      <c r="C8" s="381">
        <f>'T1'!H19</f>
        <v>30560</v>
      </c>
      <c r="D8" s="67" t="s">
        <v>361</v>
      </c>
      <c r="E8" s="382">
        <f>+B8-C8</f>
        <v>-5059.669999999998</v>
      </c>
      <c r="J8" s="50">
        <v>25500</v>
      </c>
      <c r="K8" s="50">
        <v>30560</v>
      </c>
      <c r="L8" s="50" t="s">
        <v>361</v>
      </c>
      <c r="M8" s="50">
        <v>-5060</v>
      </c>
      <c r="N8" s="433" t="s">
        <v>694</v>
      </c>
      <c r="O8" s="305">
        <f>B8-J8</f>
        <v>0.33000000000174623</v>
      </c>
      <c r="P8" s="305">
        <f>C8-K8</f>
        <v>0</v>
      </c>
      <c r="Q8" s="305"/>
      <c r="R8" s="305">
        <f>E8-M8</f>
        <v>0.33000000000174623</v>
      </c>
    </row>
    <row r="9" spans="1:18" ht="15" customHeight="1" thickTop="1">
      <c r="A9" s="379" t="s">
        <v>599</v>
      </c>
      <c r="B9" s="70">
        <f>ROUND(+AVERAGE(B3:B7),-1)</f>
        <v>22720</v>
      </c>
      <c r="C9" s="70">
        <f>ROUND(+AVERAGE(C3:C7),-1)</f>
        <v>33240</v>
      </c>
      <c r="D9" s="70" t="s">
        <v>361</v>
      </c>
      <c r="E9" s="253">
        <f>ROUND(+AVERAGE(E3:E7),-1)</f>
        <v>-10520</v>
      </c>
      <c r="F9" s="251">
        <f>SUM(E3:E7)</f>
        <v>-52599.34</v>
      </c>
      <c r="G9" s="377" t="s">
        <v>607</v>
      </c>
      <c r="H9" s="362"/>
      <c r="I9" s="362"/>
      <c r="J9" s="361"/>
      <c r="K9" s="361"/>
      <c r="O9" s="305"/>
      <c r="P9" s="305"/>
      <c r="Q9" s="305"/>
      <c r="R9" s="305"/>
    </row>
    <row r="10" spans="1:18" ht="15" customHeight="1">
      <c r="A10" s="378" t="s">
        <v>598</v>
      </c>
      <c r="B10" s="66">
        <f>ROUND(+AVERAGE(B4:B8),-1)</f>
        <v>23540</v>
      </c>
      <c r="C10" s="66">
        <f>ROUND(+AVERAGE(C4:C8),-1)</f>
        <v>32660</v>
      </c>
      <c r="D10" s="66" t="s">
        <v>361</v>
      </c>
      <c r="E10" s="251">
        <f>ROUND(+AVERAGE(E4:E8),-1)</f>
        <v>-9120</v>
      </c>
      <c r="F10" s="251">
        <f>SUM(E4:E8)</f>
        <v>-45609.009999999995</v>
      </c>
      <c r="G10" s="377" t="s">
        <v>650</v>
      </c>
      <c r="H10" s="362"/>
      <c r="I10" s="362"/>
      <c r="J10" s="361"/>
      <c r="K10" s="361"/>
      <c r="O10" s="305"/>
      <c r="P10" s="305"/>
      <c r="Q10" s="305"/>
      <c r="R10" s="305"/>
    </row>
    <row r="11" spans="1:18" ht="12.75">
      <c r="A11" s="255"/>
      <c r="F11" s="255"/>
      <c r="O11" s="305"/>
      <c r="P11" s="305"/>
      <c r="Q11" s="305"/>
      <c r="R11" s="305"/>
    </row>
    <row r="12" spans="1:18" ht="24.75" customHeight="1">
      <c r="A12" s="442" t="s">
        <v>38</v>
      </c>
      <c r="B12" s="442"/>
      <c r="C12" s="442"/>
      <c r="D12" s="442"/>
      <c r="E12" s="442"/>
      <c r="F12" s="383"/>
      <c r="G12" s="375"/>
      <c r="H12" s="375"/>
      <c r="I12" s="375"/>
      <c r="J12" s="375"/>
      <c r="K12" s="375"/>
      <c r="O12" s="305"/>
      <c r="P12" s="305"/>
      <c r="Q12" s="305"/>
      <c r="R12" s="305"/>
    </row>
    <row r="13" spans="1:18" ht="24.75" customHeight="1">
      <c r="A13" s="39" t="s">
        <v>34</v>
      </c>
      <c r="B13" s="39" t="s">
        <v>35</v>
      </c>
      <c r="C13" s="39" t="s">
        <v>3</v>
      </c>
      <c r="D13" s="39" t="s">
        <v>36</v>
      </c>
      <c r="E13" s="374" t="s">
        <v>471</v>
      </c>
      <c r="F13" s="374" t="s">
        <v>608</v>
      </c>
      <c r="G13" s="375"/>
      <c r="H13" s="375"/>
      <c r="I13" s="375"/>
      <c r="J13" s="375"/>
      <c r="K13" s="375"/>
      <c r="O13" s="305"/>
      <c r="P13" s="305"/>
      <c r="Q13" s="305"/>
      <c r="R13" s="305"/>
    </row>
    <row r="14" spans="1:18" ht="15" customHeight="1">
      <c r="A14" s="65">
        <v>2003</v>
      </c>
      <c r="B14" s="66">
        <f>'T1'!E47</f>
        <v>167780</v>
      </c>
      <c r="C14" s="211">
        <f>'T1'!I47</f>
        <v>48910</v>
      </c>
      <c r="D14" s="66" t="s">
        <v>361</v>
      </c>
      <c r="E14" s="66">
        <f>+B14-C14</f>
        <v>118870</v>
      </c>
      <c r="F14" s="373"/>
      <c r="G14" s="376"/>
      <c r="H14" s="376"/>
      <c r="I14" s="376"/>
      <c r="J14" s="376"/>
      <c r="K14" s="376"/>
      <c r="O14" s="305"/>
      <c r="P14" s="305"/>
      <c r="Q14" s="305"/>
      <c r="R14" s="305"/>
    </row>
    <row r="15" spans="1:18" ht="15" customHeight="1">
      <c r="A15" s="65">
        <f>A14+1</f>
        <v>2004</v>
      </c>
      <c r="B15" s="66">
        <f>'T1'!E69</f>
        <v>137450</v>
      </c>
      <c r="C15" s="66">
        <f>'T1'!I69</f>
        <v>38120</v>
      </c>
      <c r="D15" s="66" t="s">
        <v>361</v>
      </c>
      <c r="E15" s="66">
        <v>99330</v>
      </c>
      <c r="F15" s="373"/>
      <c r="G15" s="376"/>
      <c r="H15" s="376"/>
      <c r="I15" s="376"/>
      <c r="J15" s="376"/>
      <c r="K15" s="376"/>
      <c r="O15" s="305"/>
      <c r="P15" s="305"/>
      <c r="Q15" s="305"/>
      <c r="R15" s="305"/>
    </row>
    <row r="16" spans="1:18" ht="15" customHeight="1">
      <c r="A16" s="65">
        <f>A15+1</f>
        <v>2005</v>
      </c>
      <c r="B16" s="282">
        <f>'T1'!E91</f>
        <v>136820</v>
      </c>
      <c r="C16" s="282">
        <f>'T1'!I91</f>
        <v>44310</v>
      </c>
      <c r="D16" s="282" t="s">
        <v>361</v>
      </c>
      <c r="E16" s="282">
        <f>+B16-C16</f>
        <v>92510</v>
      </c>
      <c r="F16" s="373"/>
      <c r="G16" s="376"/>
      <c r="H16" s="376"/>
      <c r="I16" s="376"/>
      <c r="J16" s="376"/>
      <c r="K16" s="376"/>
      <c r="O16" s="305"/>
      <c r="P16" s="305"/>
      <c r="Q16" s="305"/>
      <c r="R16" s="305"/>
    </row>
    <row r="17" spans="1:18" ht="15" customHeight="1">
      <c r="A17" s="65">
        <f>A16+1</f>
        <v>2006</v>
      </c>
      <c r="B17" s="282">
        <f>'T1'!E113</f>
        <v>124520</v>
      </c>
      <c r="C17" s="282">
        <f>'T1'!I113</f>
        <v>47910</v>
      </c>
      <c r="D17" s="66" t="s">
        <v>361</v>
      </c>
      <c r="E17" s="282">
        <f>+B17-C17</f>
        <v>76610</v>
      </c>
      <c r="F17" s="373"/>
      <c r="G17" s="376"/>
      <c r="H17" s="376"/>
      <c r="I17" s="376"/>
      <c r="J17" s="376"/>
      <c r="K17" s="376"/>
      <c r="O17" s="305"/>
      <c r="P17" s="305"/>
      <c r="Q17" s="305"/>
      <c r="R17" s="305"/>
    </row>
    <row r="18" spans="1:18" ht="15" customHeight="1">
      <c r="A18" s="65">
        <f>A17+1</f>
        <v>2007</v>
      </c>
      <c r="B18" s="282">
        <f>'T1'!E135</f>
        <v>169850</v>
      </c>
      <c r="C18" s="282">
        <f>'T1'!I135</f>
        <v>56390</v>
      </c>
      <c r="D18" s="66" t="s">
        <v>361</v>
      </c>
      <c r="E18" s="282">
        <f>+B18-C18</f>
        <v>113460</v>
      </c>
      <c r="O18" s="305"/>
      <c r="P18" s="305"/>
      <c r="Q18" s="305"/>
      <c r="R18" s="305"/>
    </row>
    <row r="19" spans="1:18" ht="15" customHeight="1" thickBot="1">
      <c r="A19" s="69">
        <v>2008</v>
      </c>
      <c r="B19" s="67">
        <f>'T1'!E19</f>
        <v>243800</v>
      </c>
      <c r="C19" s="67">
        <f>'T1'!I19</f>
        <v>47810</v>
      </c>
      <c r="D19" s="67" t="s">
        <v>361</v>
      </c>
      <c r="E19" s="67">
        <f>+B19-C19</f>
        <v>195990</v>
      </c>
      <c r="J19" s="50">
        <v>244830</v>
      </c>
      <c r="K19" s="50">
        <v>49040</v>
      </c>
      <c r="L19" s="50" t="s">
        <v>361</v>
      </c>
      <c r="M19" s="50">
        <v>195790</v>
      </c>
      <c r="N19" s="433" t="s">
        <v>694</v>
      </c>
      <c r="O19" s="305">
        <f>B19-J19</f>
        <v>-1030</v>
      </c>
      <c r="P19" s="305">
        <f>C19-K19</f>
        <v>-1230</v>
      </c>
      <c r="Q19" s="305"/>
      <c r="R19" s="305">
        <f>E19-M19</f>
        <v>200</v>
      </c>
    </row>
    <row r="20" spans="1:18" ht="15" customHeight="1" thickTop="1">
      <c r="A20" s="379" t="s">
        <v>599</v>
      </c>
      <c r="B20" s="66">
        <f>ROUND(+AVERAGE(B14:B18),-1)</f>
        <v>147280</v>
      </c>
      <c r="C20" s="66">
        <f>ROUND(+AVERAGE(C14:C18),-1)</f>
        <v>47130</v>
      </c>
      <c r="D20" s="66" t="s">
        <v>361</v>
      </c>
      <c r="E20" s="251">
        <f>ROUND(+AVERAGE(E14:E18),-1)</f>
        <v>100160</v>
      </c>
      <c r="F20" s="251">
        <f>SUM(E14:E18)</f>
        <v>500780</v>
      </c>
      <c r="G20" s="377" t="s">
        <v>607</v>
      </c>
      <c r="H20" s="362"/>
      <c r="I20" s="362"/>
      <c r="J20" s="361"/>
      <c r="K20" s="361"/>
      <c r="O20" s="305"/>
      <c r="P20" s="305"/>
      <c r="Q20" s="305"/>
      <c r="R20" s="305"/>
    </row>
    <row r="21" spans="1:18" ht="15" customHeight="1">
      <c r="A21" s="378" t="s">
        <v>598</v>
      </c>
      <c r="B21" s="66">
        <f>ROUND(+AVERAGE(B15:B19),-1)</f>
        <v>162490</v>
      </c>
      <c r="C21" s="66">
        <f>ROUND(+AVERAGE(C15:C19),-1)</f>
        <v>46910</v>
      </c>
      <c r="D21" s="66" t="s">
        <v>361</v>
      </c>
      <c r="E21" s="251">
        <f>ROUND(+AVERAGE(E15:E19),-1)</f>
        <v>115580</v>
      </c>
      <c r="F21" s="251">
        <f>SUM(E15:E19)</f>
        <v>577900</v>
      </c>
      <c r="G21" s="377" t="s">
        <v>650</v>
      </c>
      <c r="H21" s="362"/>
      <c r="I21" s="362"/>
      <c r="J21" s="361"/>
      <c r="K21" s="361"/>
      <c r="O21" s="305"/>
      <c r="P21" s="305"/>
      <c r="Q21" s="305"/>
      <c r="R21" s="305"/>
    </row>
    <row r="22" spans="1:18" ht="12.75">
      <c r="A22" s="255"/>
      <c r="E22" s="256"/>
      <c r="F22" s="255"/>
      <c r="O22" s="305"/>
      <c r="P22" s="305"/>
      <c r="Q22" s="305"/>
      <c r="R22" s="305"/>
    </row>
    <row r="23" spans="1:18" ht="24.75" customHeight="1">
      <c r="A23" s="442" t="s">
        <v>39</v>
      </c>
      <c r="B23" s="442"/>
      <c r="C23" s="442"/>
      <c r="D23" s="442"/>
      <c r="E23" s="442"/>
      <c r="F23" s="383"/>
      <c r="G23" s="375"/>
      <c r="H23" s="375"/>
      <c r="I23" s="375"/>
      <c r="J23" s="375"/>
      <c r="K23" s="375"/>
      <c r="O23" s="305"/>
      <c r="P23" s="305"/>
      <c r="Q23" s="305"/>
      <c r="R23" s="305"/>
    </row>
    <row r="24" spans="1:19" ht="24.75" customHeight="1">
      <c r="A24" s="39" t="s">
        <v>34</v>
      </c>
      <c r="B24" s="39" t="s">
        <v>35</v>
      </c>
      <c r="C24" s="39" t="s">
        <v>3</v>
      </c>
      <c r="D24" s="39" t="s">
        <v>36</v>
      </c>
      <c r="E24" s="196" t="s">
        <v>471</v>
      </c>
      <c r="F24" s="374" t="s">
        <v>608</v>
      </c>
      <c r="G24" s="375"/>
      <c r="H24" s="375"/>
      <c r="I24" s="375"/>
      <c r="J24" s="375"/>
      <c r="K24" s="375"/>
      <c r="S24" s="375"/>
    </row>
    <row r="25" spans="1:19" ht="15" customHeight="1">
      <c r="A25" s="65">
        <v>2003</v>
      </c>
      <c r="B25" s="66">
        <f>'T1'!F47</f>
        <v>227580</v>
      </c>
      <c r="C25" s="66">
        <f>'T1'!J47</f>
        <v>262780</v>
      </c>
      <c r="D25" s="282">
        <f>GM_output!E62</f>
        <v>9782</v>
      </c>
      <c r="E25" s="251">
        <f>+B25-(C25-D25)</f>
        <v>-25418</v>
      </c>
      <c r="F25" s="373"/>
      <c r="G25" s="376"/>
      <c r="H25" s="376"/>
      <c r="I25" s="376"/>
      <c r="J25" s="376"/>
      <c r="K25" s="376"/>
      <c r="S25" s="376"/>
    </row>
    <row r="26" spans="1:19" ht="15" customHeight="1">
      <c r="A26" s="65">
        <f>A25+1</f>
        <v>2004</v>
      </c>
      <c r="B26" s="66">
        <f>'T1'!F69</f>
        <v>205630</v>
      </c>
      <c r="C26" s="66">
        <f>'T1'!J69</f>
        <v>252650</v>
      </c>
      <c r="D26" s="282">
        <f>GM_output!K62</f>
        <v>10386</v>
      </c>
      <c r="E26" s="251">
        <v>-36640</v>
      </c>
      <c r="F26" s="373"/>
      <c r="G26" s="376"/>
      <c r="H26" s="376"/>
      <c r="I26" s="376"/>
      <c r="J26" s="376"/>
      <c r="K26" s="376"/>
      <c r="S26" s="376"/>
    </row>
    <row r="27" spans="1:19" ht="15" customHeight="1">
      <c r="A27" s="65">
        <f>A26+1</f>
        <v>2005</v>
      </c>
      <c r="B27" s="66">
        <f>'T1'!F91</f>
        <v>199450</v>
      </c>
      <c r="C27" s="282">
        <f>'T1'!J91</f>
        <v>253740</v>
      </c>
      <c r="D27" s="282">
        <v>11965</v>
      </c>
      <c r="E27" s="283">
        <f>B27-(C27-D27)</f>
        <v>-42325</v>
      </c>
      <c r="F27" s="373"/>
      <c r="G27" s="376"/>
      <c r="H27" s="376"/>
      <c r="I27" s="376"/>
      <c r="J27" s="376"/>
      <c r="K27" s="376"/>
      <c r="S27" s="376"/>
    </row>
    <row r="28" spans="1:19" ht="15" customHeight="1">
      <c r="A28" s="65">
        <f>A27+1</f>
        <v>2006</v>
      </c>
      <c r="B28" s="282">
        <f>'T1'!F113</f>
        <v>187060</v>
      </c>
      <c r="C28" s="282">
        <f>'T1'!J113</f>
        <v>236150</v>
      </c>
      <c r="D28" s="282">
        <f>GM_output!W65</f>
        <v>12214</v>
      </c>
      <c r="E28" s="283">
        <f>B28-(C28-D28)</f>
        <v>-36876</v>
      </c>
      <c r="F28" s="373"/>
      <c r="G28" s="376"/>
      <c r="H28" s="376"/>
      <c r="I28" s="376"/>
      <c r="J28" s="376"/>
      <c r="K28" s="376"/>
      <c r="S28" s="376"/>
    </row>
    <row r="29" spans="1:5" ht="15" customHeight="1">
      <c r="A29" s="65">
        <f>A28+1</f>
        <v>2007</v>
      </c>
      <c r="B29" s="282">
        <f>'T1'!F135</f>
        <v>244380</v>
      </c>
      <c r="C29" s="282">
        <f>'T1'!J135</f>
        <v>242830</v>
      </c>
      <c r="D29" s="282">
        <f>GM_output!AC65</f>
        <v>21933</v>
      </c>
      <c r="E29" s="283">
        <f>B29-(C29-D29)</f>
        <v>23483</v>
      </c>
    </row>
    <row r="30" spans="1:18" ht="15" customHeight="1" thickBot="1">
      <c r="A30" s="69">
        <v>2008</v>
      </c>
      <c r="B30" s="67">
        <f>'T1'!F19</f>
        <v>308520</v>
      </c>
      <c r="C30" s="67">
        <f>'T1'!J19</f>
        <v>248870</v>
      </c>
      <c r="D30" s="68">
        <f>GM_output!E31</f>
        <v>25825</v>
      </c>
      <c r="E30" s="254">
        <f>B30-(C30-D30)</f>
        <v>85475</v>
      </c>
      <c r="J30" s="50">
        <v>309510</v>
      </c>
      <c r="K30" s="50">
        <v>249660</v>
      </c>
      <c r="L30" s="50">
        <v>25825</v>
      </c>
      <c r="M30" s="50">
        <v>85675</v>
      </c>
      <c r="N30" s="433" t="s">
        <v>694</v>
      </c>
      <c r="O30" s="305">
        <f>B30-J30</f>
        <v>-990</v>
      </c>
      <c r="P30" s="305">
        <f>C30-K30</f>
        <v>-790</v>
      </c>
      <c r="Q30" s="305">
        <f>D30-L30</f>
        <v>0</v>
      </c>
      <c r="R30" s="305">
        <f>E30-M30</f>
        <v>-200</v>
      </c>
    </row>
    <row r="31" spans="1:7" ht="13.5" thickTop="1">
      <c r="A31" s="379" t="s">
        <v>599</v>
      </c>
      <c r="B31" s="66">
        <f aca="true" t="shared" si="0" ref="B31:E32">ROUND(+AVERAGE(B25:B29),-1)</f>
        <v>212820</v>
      </c>
      <c r="C31" s="66">
        <f t="shared" si="0"/>
        <v>249630</v>
      </c>
      <c r="D31" s="66">
        <f t="shared" si="0"/>
        <v>13260</v>
      </c>
      <c r="E31" s="251">
        <f t="shared" si="0"/>
        <v>-23560</v>
      </c>
      <c r="F31" s="251">
        <f>SUM(E25:E29)</f>
        <v>-117776</v>
      </c>
      <c r="G31" s="377" t="s">
        <v>607</v>
      </c>
    </row>
    <row r="32" spans="1:7" ht="12.75">
      <c r="A32" s="378" t="s">
        <v>598</v>
      </c>
      <c r="B32" s="66">
        <f t="shared" si="0"/>
        <v>229010</v>
      </c>
      <c r="C32" s="66">
        <f t="shared" si="0"/>
        <v>246850</v>
      </c>
      <c r="D32" s="66">
        <f t="shared" si="0"/>
        <v>16460</v>
      </c>
      <c r="E32" s="251">
        <f t="shared" si="0"/>
        <v>-1380</v>
      </c>
      <c r="F32" s="251">
        <f>SUM(E26:E30)</f>
        <v>-6883</v>
      </c>
      <c r="G32" s="377" t="s">
        <v>650</v>
      </c>
    </row>
    <row r="33" spans="15:18" ht="12.75">
      <c r="O33" s="305"/>
      <c r="P33" s="305"/>
      <c r="Q33" s="305"/>
      <c r="R33" s="305"/>
    </row>
    <row r="34" spans="15:18" ht="12.75">
      <c r="O34" s="305"/>
      <c r="P34" s="305"/>
      <c r="Q34" s="305"/>
      <c r="R34" s="305"/>
    </row>
    <row r="35" spans="15:18" ht="12.75">
      <c r="O35" s="305"/>
      <c r="P35" s="305"/>
      <c r="Q35" s="305"/>
      <c r="R35" s="305"/>
    </row>
    <row r="36" spans="15:18" ht="12.75">
      <c r="O36" s="305"/>
      <c r="P36" s="305"/>
      <c r="Q36" s="305"/>
      <c r="R36" s="305"/>
    </row>
    <row r="37" spans="12:18" ht="51">
      <c r="L37" s="39" t="s">
        <v>34</v>
      </c>
      <c r="M37" s="39" t="s">
        <v>35</v>
      </c>
      <c r="N37" s="39" t="s">
        <v>3</v>
      </c>
      <c r="O37" s="39" t="s">
        <v>36</v>
      </c>
      <c r="P37" s="196" t="s">
        <v>471</v>
      </c>
      <c r="Q37" s="374" t="s">
        <v>608</v>
      </c>
      <c r="R37" s="375"/>
    </row>
    <row r="38" spans="12:18" ht="12.75">
      <c r="L38" s="65">
        <v>2003</v>
      </c>
      <c r="M38" s="66">
        <v>227580</v>
      </c>
      <c r="N38" s="66">
        <v>262780</v>
      </c>
      <c r="O38" s="282">
        <v>9782</v>
      </c>
      <c r="P38" s="251">
        <v>-25418</v>
      </c>
      <c r="Q38" s="373"/>
      <c r="R38" s="376"/>
    </row>
    <row r="39" spans="12:18" ht="12.75">
      <c r="L39" s="65">
        <v>2004</v>
      </c>
      <c r="M39" s="66">
        <v>205630</v>
      </c>
      <c r="N39" s="66">
        <v>252650</v>
      </c>
      <c r="O39" s="282">
        <v>10386</v>
      </c>
      <c r="P39" s="251">
        <v>-36640</v>
      </c>
      <c r="Q39" s="373"/>
      <c r="R39" s="376"/>
    </row>
    <row r="40" spans="12:18" ht="12.75">
      <c r="L40" s="65">
        <v>2005</v>
      </c>
      <c r="M40" s="66">
        <v>199450</v>
      </c>
      <c r="N40" s="282">
        <v>253740</v>
      </c>
      <c r="O40" s="282">
        <v>11965</v>
      </c>
      <c r="P40" s="283">
        <v>-42325</v>
      </c>
      <c r="Q40" s="373"/>
      <c r="R40" s="376"/>
    </row>
    <row r="41" spans="12:18" ht="12.75">
      <c r="L41" s="65">
        <v>2006</v>
      </c>
      <c r="M41" s="282">
        <v>187060</v>
      </c>
      <c r="N41" s="282">
        <v>236150</v>
      </c>
      <c r="O41" s="282">
        <v>12214</v>
      </c>
      <c r="P41" s="283">
        <v>-36876</v>
      </c>
      <c r="Q41" s="373"/>
      <c r="R41" s="376"/>
    </row>
    <row r="42" spans="12:16" ht="12.75">
      <c r="L42" s="65">
        <v>2007</v>
      </c>
      <c r="M42" s="282">
        <v>244380</v>
      </c>
      <c r="N42" s="282">
        <v>242830</v>
      </c>
      <c r="O42" s="282">
        <v>21933</v>
      </c>
      <c r="P42" s="283">
        <v>23483</v>
      </c>
    </row>
    <row r="43" spans="12:16" ht="13.5" thickBot="1">
      <c r="L43" s="69">
        <v>2008</v>
      </c>
      <c r="M43" s="67">
        <v>308590</v>
      </c>
      <c r="N43" s="67">
        <v>249620</v>
      </c>
      <c r="O43" s="68">
        <v>25825</v>
      </c>
      <c r="P43" s="254">
        <v>84795</v>
      </c>
    </row>
    <row r="44" spans="12:18" ht="13.5" thickTop="1">
      <c r="L44" s="379" t="s">
        <v>599</v>
      </c>
      <c r="M44" s="66">
        <v>212820</v>
      </c>
      <c r="N44" s="66">
        <v>249630</v>
      </c>
      <c r="O44" s="66">
        <v>13260</v>
      </c>
      <c r="P44" s="251">
        <v>-23560</v>
      </c>
      <c r="Q44" s="251">
        <v>-117776</v>
      </c>
      <c r="R44" s="377" t="s">
        <v>607</v>
      </c>
    </row>
    <row r="45" spans="12:18" ht="12.75">
      <c r="L45" s="378" t="s">
        <v>598</v>
      </c>
      <c r="M45" s="66">
        <v>229020</v>
      </c>
      <c r="N45" s="66">
        <v>247000</v>
      </c>
      <c r="O45" s="66">
        <v>16460</v>
      </c>
      <c r="P45" s="251">
        <v>-1510</v>
      </c>
      <c r="Q45" s="251">
        <v>-7563</v>
      </c>
      <c r="R45" s="377" t="s">
        <v>650</v>
      </c>
    </row>
    <row r="46" spans="15:18" ht="12.75">
      <c r="O46" s="305"/>
      <c r="P46" s="305"/>
      <c r="Q46" s="305"/>
      <c r="R46" s="305"/>
    </row>
    <row r="47" spans="15:18" ht="12.75">
      <c r="O47" s="305"/>
      <c r="P47" s="305"/>
      <c r="Q47" s="305"/>
      <c r="R47" s="305"/>
    </row>
    <row r="48" spans="15:18" ht="12.75">
      <c r="O48" s="305"/>
      <c r="P48" s="305"/>
      <c r="Q48" s="305"/>
      <c r="R48" s="305"/>
    </row>
    <row r="49" spans="15:18" ht="12.75">
      <c r="O49" s="305"/>
      <c r="P49" s="305"/>
      <c r="Q49" s="305"/>
      <c r="R49" s="305"/>
    </row>
    <row r="50" spans="15:18" ht="12.75">
      <c r="O50" s="305"/>
      <c r="P50" s="305"/>
      <c r="Q50" s="305"/>
      <c r="R50" s="305"/>
    </row>
    <row r="51" spans="15:18" ht="12.75">
      <c r="O51" s="305"/>
      <c r="P51" s="305"/>
      <c r="Q51" s="305"/>
      <c r="R51" s="305"/>
    </row>
    <row r="52" spans="15:18" ht="12.75">
      <c r="O52" s="305"/>
      <c r="P52" s="305"/>
      <c r="Q52" s="305"/>
      <c r="R52" s="305"/>
    </row>
    <row r="53" spans="15:18" ht="12.75">
      <c r="O53" s="305"/>
      <c r="P53" s="305"/>
      <c r="Q53" s="305"/>
      <c r="R53" s="305"/>
    </row>
    <row r="54" spans="15:18" ht="12.75">
      <c r="O54" s="305"/>
      <c r="P54" s="305"/>
      <c r="Q54" s="305"/>
      <c r="R54" s="305"/>
    </row>
    <row r="55" spans="15:18" ht="12.75">
      <c r="O55" s="305"/>
      <c r="P55" s="305"/>
      <c r="Q55" s="305"/>
      <c r="R55" s="305"/>
    </row>
    <row r="56" spans="15:18" ht="12.75">
      <c r="O56" s="305"/>
      <c r="P56" s="305"/>
      <c r="Q56" s="305"/>
      <c r="R56" s="305"/>
    </row>
    <row r="57" spans="15:18" ht="12.75">
      <c r="O57" s="305"/>
      <c r="P57" s="305"/>
      <c r="Q57" s="305"/>
      <c r="R57" s="305"/>
    </row>
    <row r="58" spans="15:18" ht="12.75">
      <c r="O58" s="305"/>
      <c r="P58" s="305"/>
      <c r="Q58" s="305"/>
      <c r="R58" s="305"/>
    </row>
  </sheetData>
  <sheetProtection/>
  <mergeCells count="3">
    <mergeCell ref="A1:E1"/>
    <mergeCell ref="A12:E12"/>
    <mergeCell ref="A23:E23"/>
  </mergeCells>
  <printOptions/>
  <pageMargins left="0.75" right="0.75" top="1" bottom="1" header="0.5" footer="0.5"/>
  <pageSetup fitToHeight="1" fitToWidth="1" horizontalDpi="600" verticalDpi="600" orientation="portrait" scale="85" r:id="rId1"/>
  <headerFooter alignWithMargins="0">
    <oddHeader>&amp;L5-year Accounting, 2003 through 2007, 2007 is estimated based on Oct. 2006 to Sep. 2007 stream flow and 2006 pumping and irrigation.</oddHeader>
    <oddFooter>&amp;LRRCA Compact Accounting without non-federal reservoir evaporation. Includes estimated Kansas proposal Harlan County Split.</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C94"/>
  <sheetViews>
    <sheetView zoomScalePageLayoutView="0" workbookViewId="0" topLeftCell="A1">
      <selection activeCell="B36" sqref="B36"/>
    </sheetView>
  </sheetViews>
  <sheetFormatPr defaultColWidth="9.140625" defaultRowHeight="12.75"/>
  <cols>
    <col min="1" max="1" width="24.8515625" style="0" customWidth="1"/>
    <col min="2" max="2" width="27.28125" style="0" customWidth="1"/>
    <col min="3" max="3" width="32.00390625" style="0" customWidth="1"/>
  </cols>
  <sheetData>
    <row r="1" spans="1:2" s="191" customFormat="1" ht="20.25">
      <c r="A1" s="189" t="s">
        <v>466</v>
      </c>
      <c r="B1" s="190"/>
    </row>
    <row r="2" spans="1:2" ht="15.75">
      <c r="A2" s="272" t="s">
        <v>563</v>
      </c>
      <c r="B2" s="38"/>
    </row>
    <row r="3" ht="12.75">
      <c r="B3" s="38"/>
    </row>
    <row r="4" spans="1:2" ht="15">
      <c r="A4" s="187" t="s">
        <v>532</v>
      </c>
      <c r="B4" s="38" t="s">
        <v>587</v>
      </c>
    </row>
    <row r="5" spans="1:2" ht="12.75">
      <c r="A5" s="38"/>
      <c r="B5" s="38"/>
    </row>
    <row r="6" spans="1:3" ht="14.25">
      <c r="A6" s="188" t="s">
        <v>435</v>
      </c>
      <c r="B6" s="209">
        <v>39668</v>
      </c>
      <c r="C6" s="186" t="s">
        <v>573</v>
      </c>
    </row>
    <row r="7" spans="1:3" ht="14.25">
      <c r="A7" s="188"/>
      <c r="B7" s="188"/>
      <c r="C7" s="186"/>
    </row>
    <row r="8" spans="1:3" ht="14.25">
      <c r="A8" s="188" t="s">
        <v>534</v>
      </c>
      <c r="B8" s="188" t="s">
        <v>535</v>
      </c>
      <c r="C8" s="186"/>
    </row>
    <row r="10" ht="15">
      <c r="B10" s="187"/>
    </row>
    <row r="11" spans="1:2" ht="14.25">
      <c r="A11" s="188" t="s">
        <v>538</v>
      </c>
      <c r="B11" s="62"/>
    </row>
    <row r="12" spans="1:2" ht="14.25">
      <c r="A12" s="188" t="s">
        <v>539</v>
      </c>
      <c r="B12" s="62"/>
    </row>
    <row r="13" ht="12.75">
      <c r="B13" s="62"/>
    </row>
    <row r="14" spans="1:2" ht="12.75">
      <c r="A14" t="s">
        <v>544</v>
      </c>
      <c r="B14" s="62"/>
    </row>
    <row r="15" spans="1:2" ht="14.25">
      <c r="A15" s="188" t="s">
        <v>540</v>
      </c>
      <c r="B15" s="3"/>
    </row>
    <row r="16" spans="1:2" ht="14.25">
      <c r="A16" s="188" t="s">
        <v>541</v>
      </c>
      <c r="B16" s="62"/>
    </row>
    <row r="17" ht="14.25">
      <c r="A17" s="188" t="s">
        <v>554</v>
      </c>
    </row>
    <row r="18" ht="14.25">
      <c r="A18" s="188" t="s">
        <v>542</v>
      </c>
    </row>
    <row r="19" spans="1:2" ht="15">
      <c r="A19" s="62" t="s">
        <v>548</v>
      </c>
      <c r="B19" s="187"/>
    </row>
    <row r="20" spans="1:2" ht="15.75">
      <c r="A20" s="206" t="s">
        <v>543</v>
      </c>
      <c r="B20" s="208"/>
    </row>
    <row r="21" spans="1:2" ht="15.75">
      <c r="A21" s="206" t="s">
        <v>552</v>
      </c>
      <c r="B21" s="208"/>
    </row>
    <row r="22" ht="12.75">
      <c r="A22" t="s">
        <v>553</v>
      </c>
    </row>
    <row r="24" spans="1:2" ht="12.75">
      <c r="A24" t="s">
        <v>545</v>
      </c>
      <c r="B24" s="206"/>
    </row>
    <row r="25" spans="1:2" ht="12.75">
      <c r="A25" t="s">
        <v>570</v>
      </c>
      <c r="B25" s="206"/>
    </row>
    <row r="26" ht="12.75">
      <c r="A26" s="206"/>
    </row>
    <row r="27" ht="12.75">
      <c r="A27" t="s">
        <v>546</v>
      </c>
    </row>
    <row r="28" ht="12.75">
      <c r="A28" t="s">
        <v>547</v>
      </c>
    </row>
    <row r="29" ht="12.75">
      <c r="A29" s="206"/>
    </row>
    <row r="30" spans="1:2" ht="12.75">
      <c r="A30" t="s">
        <v>550</v>
      </c>
      <c r="B30" s="62"/>
    </row>
    <row r="31" spans="1:2" ht="12.75">
      <c r="A31" t="s">
        <v>551</v>
      </c>
      <c r="B31" s="271"/>
    </row>
    <row r="32" ht="12.75">
      <c r="A32" s="206"/>
    </row>
    <row r="33" ht="12.75">
      <c r="A33" s="206" t="s">
        <v>556</v>
      </c>
    </row>
    <row r="34" ht="12.75">
      <c r="A34" s="206" t="s">
        <v>562</v>
      </c>
    </row>
    <row r="35" ht="12.75">
      <c r="A35" s="206" t="s">
        <v>555</v>
      </c>
    </row>
    <row r="36" ht="12.75">
      <c r="A36" s="62" t="s">
        <v>583</v>
      </c>
    </row>
    <row r="37" ht="12.75">
      <c r="A37" s="206" t="s">
        <v>557</v>
      </c>
    </row>
    <row r="38" ht="12.75">
      <c r="A38" s="206" t="s">
        <v>559</v>
      </c>
    </row>
    <row r="39" ht="12.75">
      <c r="A39" s="62" t="s">
        <v>560</v>
      </c>
    </row>
    <row r="40" ht="12.75">
      <c r="A40" s="287" t="s">
        <v>561</v>
      </c>
    </row>
    <row r="42" ht="12.75">
      <c r="A42" s="62" t="s">
        <v>564</v>
      </c>
    </row>
    <row r="43" ht="12.75">
      <c r="A43" s="287" t="s">
        <v>565</v>
      </c>
    </row>
    <row r="44" ht="12.75">
      <c r="A44" s="62" t="s">
        <v>566</v>
      </c>
    </row>
    <row r="45" ht="12.75">
      <c r="A45" s="62" t="s">
        <v>567</v>
      </c>
    </row>
    <row r="47" ht="12.75">
      <c r="A47" t="s">
        <v>568</v>
      </c>
    </row>
    <row r="48" ht="12.75">
      <c r="A48" t="s">
        <v>569</v>
      </c>
    </row>
    <row r="50" ht="12.75">
      <c r="A50" t="s">
        <v>571</v>
      </c>
    </row>
    <row r="51" ht="12.75">
      <c r="A51" t="s">
        <v>572</v>
      </c>
    </row>
    <row r="52" ht="12.75">
      <c r="A52" s="287" t="s">
        <v>574</v>
      </c>
    </row>
    <row r="53" ht="12.75">
      <c r="A53" s="62" t="s">
        <v>575</v>
      </c>
    </row>
    <row r="54" ht="12.75">
      <c r="A54" s="62" t="s">
        <v>584</v>
      </c>
    </row>
    <row r="56" ht="12.75">
      <c r="A56" s="206" t="s">
        <v>577</v>
      </c>
    </row>
    <row r="57" ht="12.75">
      <c r="A57" t="s">
        <v>578</v>
      </c>
    </row>
    <row r="59" ht="12.75">
      <c r="A59" t="s">
        <v>579</v>
      </c>
    </row>
    <row r="60" ht="12.75">
      <c r="A60" t="s">
        <v>580</v>
      </c>
    </row>
    <row r="61" ht="12.75">
      <c r="A61" t="s">
        <v>581</v>
      </c>
    </row>
    <row r="62" ht="12.75">
      <c r="A62" s="352" t="s">
        <v>582</v>
      </c>
    </row>
    <row r="64" ht="12.75">
      <c r="A64" t="s">
        <v>585</v>
      </c>
    </row>
    <row r="65" ht="12.75">
      <c r="A65" t="s">
        <v>586</v>
      </c>
    </row>
    <row r="67" ht="12.75">
      <c r="A67" t="s">
        <v>588</v>
      </c>
    </row>
    <row r="68" ht="12.75">
      <c r="A68" t="s">
        <v>589</v>
      </c>
    </row>
    <row r="69" ht="12.75">
      <c r="A69" t="s">
        <v>590</v>
      </c>
    </row>
    <row r="72" ht="12.75">
      <c r="A72" s="3"/>
    </row>
    <row r="79" ht="12.75">
      <c r="A79" s="3"/>
    </row>
    <row r="90" ht="12.75">
      <c r="A90" s="96"/>
    </row>
    <row r="91" ht="12.75">
      <c r="A91" s="62"/>
    </row>
    <row r="92" ht="12.75">
      <c r="A92" s="62"/>
    </row>
    <row r="93" ht="12.75">
      <c r="A93" s="62"/>
    </row>
    <row r="94" ht="12.75">
      <c r="A94" s="62"/>
    </row>
  </sheetData>
  <sheetProtection/>
  <printOptions horizontalCentered="1" verticalCentered="1"/>
  <pageMargins left="0.56" right="0.51" top="0.57" bottom="0.56" header="0.5" footer="0.5"/>
  <pageSetup fitToHeight="2" fitToWidth="1" horizontalDpi="600" verticalDpi="600" orientation="portrait" scale="74" r:id="rId1"/>
</worksheet>
</file>

<file path=xl/worksheets/sheet20.xml><?xml version="1.0" encoding="utf-8"?>
<worksheet xmlns="http://schemas.openxmlformats.org/spreadsheetml/2006/main" xmlns:r="http://schemas.openxmlformats.org/officeDocument/2006/relationships">
  <sheetPr codeName="Sheet19">
    <pageSetUpPr fitToPage="1"/>
  </sheetPr>
  <dimension ref="A1:J132"/>
  <sheetViews>
    <sheetView zoomScalePageLayoutView="0" workbookViewId="0" topLeftCell="A3">
      <selection activeCell="B103" sqref="B103"/>
    </sheetView>
  </sheetViews>
  <sheetFormatPr defaultColWidth="9.140625" defaultRowHeight="12.75"/>
  <cols>
    <col min="1" max="1" width="11.28125" style="0" customWidth="1"/>
    <col min="2" max="7" width="16.7109375" style="0" customWidth="1"/>
  </cols>
  <sheetData>
    <row r="1" spans="1:7" ht="12.75">
      <c r="A1" s="443" t="s">
        <v>600</v>
      </c>
      <c r="B1" s="443"/>
      <c r="C1" s="443"/>
      <c r="D1" s="443"/>
      <c r="E1" s="443"/>
      <c r="F1" s="443"/>
      <c r="G1" s="443"/>
    </row>
    <row r="2" spans="1:7" ht="49.5" customHeight="1">
      <c r="A2" s="39" t="s">
        <v>7</v>
      </c>
      <c r="B2" s="39" t="s">
        <v>40</v>
      </c>
      <c r="C2" s="39" t="s">
        <v>41</v>
      </c>
      <c r="D2" s="39" t="s">
        <v>42</v>
      </c>
      <c r="E2" s="39" t="s">
        <v>43</v>
      </c>
      <c r="F2" s="39" t="s">
        <v>44</v>
      </c>
      <c r="G2" s="39" t="s">
        <v>45</v>
      </c>
    </row>
    <row r="3" spans="1:7" ht="19.5" customHeight="1">
      <c r="A3" s="40" t="s">
        <v>14</v>
      </c>
      <c r="B3" s="44">
        <f>B30</f>
        <v>9680</v>
      </c>
      <c r="C3" s="44">
        <f>C30</f>
        <v>22900</v>
      </c>
      <c r="D3" s="193" t="s">
        <v>361</v>
      </c>
      <c r="E3" s="44">
        <f>E30</f>
        <v>32580</v>
      </c>
      <c r="F3" s="44">
        <f>F30</f>
        <v>17154</v>
      </c>
      <c r="G3" s="284">
        <f>G30</f>
        <v>15426</v>
      </c>
    </row>
    <row r="4" spans="1:7" ht="19.5" customHeight="1">
      <c r="A4" s="40" t="s">
        <v>15</v>
      </c>
      <c r="B4" s="44">
        <f>B41</f>
        <v>1784</v>
      </c>
      <c r="C4" s="44">
        <f>C41</f>
        <v>-10</v>
      </c>
      <c r="D4" s="193" t="s">
        <v>361</v>
      </c>
      <c r="E4" s="44">
        <f>E41</f>
        <v>1774</v>
      </c>
      <c r="F4" s="44">
        <f>F41</f>
        <v>968</v>
      </c>
      <c r="G4" s="284">
        <f>G41</f>
        <v>806</v>
      </c>
    </row>
    <row r="5" spans="1:7" ht="19.5" customHeight="1">
      <c r="A5" s="40" t="s">
        <v>17</v>
      </c>
      <c r="B5" s="44">
        <f>B52</f>
        <v>10504</v>
      </c>
      <c r="C5" s="44">
        <f>C52</f>
        <v>3312</v>
      </c>
      <c r="D5" s="193" t="s">
        <v>361</v>
      </c>
      <c r="E5" s="44">
        <f>E52</f>
        <v>13816</v>
      </c>
      <c r="F5" s="44">
        <f>F52</f>
        <v>16132</v>
      </c>
      <c r="G5" s="284">
        <f>G52</f>
        <v>-2316</v>
      </c>
    </row>
    <row r="6" spans="1:7" ht="19.5" customHeight="1">
      <c r="A6" s="40" t="s">
        <v>22</v>
      </c>
      <c r="B6" s="44">
        <f>B63</f>
        <v>1570</v>
      </c>
      <c r="C6" s="44">
        <f>C63</f>
        <v>46</v>
      </c>
      <c r="D6" s="193" t="s">
        <v>361</v>
      </c>
      <c r="E6" s="44">
        <f>E63</f>
        <v>1616</v>
      </c>
      <c r="F6" s="44">
        <f>F63</f>
        <v>0</v>
      </c>
      <c r="G6" s="284">
        <f>G63</f>
        <v>1616</v>
      </c>
    </row>
    <row r="8" spans="1:7" ht="12.75">
      <c r="A8" s="443" t="s">
        <v>601</v>
      </c>
      <c r="B8" s="443"/>
      <c r="C8" s="443"/>
      <c r="D8" s="443"/>
      <c r="E8" s="443"/>
      <c r="F8" s="443"/>
      <c r="G8" s="443"/>
    </row>
    <row r="9" spans="1:8" ht="54.75" customHeight="1">
      <c r="A9" s="39" t="s">
        <v>7</v>
      </c>
      <c r="B9" s="39" t="s">
        <v>40</v>
      </c>
      <c r="C9" s="39" t="s">
        <v>41</v>
      </c>
      <c r="D9" s="192" t="s">
        <v>467</v>
      </c>
      <c r="E9" s="39" t="s">
        <v>42</v>
      </c>
      <c r="F9" s="39" t="s">
        <v>468</v>
      </c>
      <c r="G9" s="39" t="s">
        <v>44</v>
      </c>
      <c r="H9" s="39" t="s">
        <v>45</v>
      </c>
    </row>
    <row r="10" spans="1:8" ht="19.5" customHeight="1">
      <c r="A10" s="40" t="s">
        <v>15</v>
      </c>
      <c r="B10" s="44">
        <f>B77</f>
        <v>116</v>
      </c>
      <c r="C10" s="44">
        <f>C77</f>
        <v>-10</v>
      </c>
      <c r="D10" s="44">
        <f>D77</f>
        <v>816</v>
      </c>
      <c r="E10" s="193" t="s">
        <v>361</v>
      </c>
      <c r="F10" s="44">
        <f>F77</f>
        <v>922</v>
      </c>
      <c r="G10" s="44">
        <f>G77</f>
        <v>136</v>
      </c>
      <c r="H10" s="284">
        <f>H77</f>
        <v>786</v>
      </c>
    </row>
    <row r="11" spans="1:8" ht="19.5" customHeight="1">
      <c r="A11" s="40" t="s">
        <v>17</v>
      </c>
      <c r="B11" s="44">
        <f>B88</f>
        <v>9512</v>
      </c>
      <c r="C11" s="44">
        <f>C88</f>
        <v>3312</v>
      </c>
      <c r="D11" s="44">
        <f>D88</f>
        <v>0</v>
      </c>
      <c r="E11" s="193" t="s">
        <v>361</v>
      </c>
      <c r="F11" s="44">
        <f>F88</f>
        <v>12824</v>
      </c>
      <c r="G11" s="44">
        <f>G88</f>
        <v>5972</v>
      </c>
      <c r="H11" s="284">
        <f>H88</f>
        <v>6852</v>
      </c>
    </row>
    <row r="12" spans="1:8" ht="19.5" customHeight="1">
      <c r="A12" s="40" t="s">
        <v>19</v>
      </c>
      <c r="B12" s="44">
        <f>B99</f>
        <v>258</v>
      </c>
      <c r="C12" s="44">
        <f>C99</f>
        <v>2882</v>
      </c>
      <c r="D12" s="44">
        <f>D99</f>
        <v>0</v>
      </c>
      <c r="E12" s="193" t="s">
        <v>361</v>
      </c>
      <c r="F12" s="44">
        <f>F99</f>
        <v>3140</v>
      </c>
      <c r="G12" s="44">
        <f>G99</f>
        <v>10</v>
      </c>
      <c r="H12" s="284">
        <f>H99</f>
        <v>3130</v>
      </c>
    </row>
    <row r="13" spans="1:8" ht="19.5" customHeight="1">
      <c r="A13" s="40" t="s">
        <v>22</v>
      </c>
      <c r="B13" s="44">
        <f>B110</f>
        <v>3050</v>
      </c>
      <c r="C13" s="44">
        <f>C110</f>
        <v>46</v>
      </c>
      <c r="D13" s="44">
        <f>D110</f>
        <v>1570</v>
      </c>
      <c r="E13" s="193" t="s">
        <v>361</v>
      </c>
      <c r="F13" s="44">
        <f>F110</f>
        <v>4666</v>
      </c>
      <c r="G13" s="44">
        <f>G110</f>
        <v>3554</v>
      </c>
      <c r="H13" s="284">
        <f>H110</f>
        <v>1112</v>
      </c>
    </row>
    <row r="14" spans="1:8" ht="19.5" customHeight="1">
      <c r="A14" s="40" t="s">
        <v>23</v>
      </c>
      <c r="B14" s="44">
        <f>B121</f>
        <v>1398</v>
      </c>
      <c r="C14" s="44">
        <f>C121</f>
        <v>608</v>
      </c>
      <c r="D14" s="44">
        <f>D121</f>
        <v>0</v>
      </c>
      <c r="E14" s="193" t="s">
        <v>361</v>
      </c>
      <c r="F14" s="44">
        <f>F121</f>
        <v>2006</v>
      </c>
      <c r="G14" s="44">
        <f>G121</f>
        <v>52</v>
      </c>
      <c r="H14" s="284">
        <f>H121</f>
        <v>1954</v>
      </c>
    </row>
    <row r="15" spans="1:8" ht="19.5" customHeight="1">
      <c r="A15" s="40" t="s">
        <v>24</v>
      </c>
      <c r="B15" s="44">
        <f>B132</f>
        <v>5358</v>
      </c>
      <c r="C15" s="44">
        <f>C132</f>
        <v>5478</v>
      </c>
      <c r="D15" s="44">
        <f>D132</f>
        <v>0</v>
      </c>
      <c r="E15" s="193" t="s">
        <v>361</v>
      </c>
      <c r="F15" s="44">
        <f>F132</f>
        <v>10836</v>
      </c>
      <c r="G15" s="44">
        <f>G132</f>
        <v>8378</v>
      </c>
      <c r="H15" s="284">
        <f>H132</f>
        <v>2458</v>
      </c>
    </row>
    <row r="17" ht="12.75">
      <c r="A17" s="276"/>
    </row>
    <row r="18" ht="12.75">
      <c r="A18" s="277" t="s">
        <v>516</v>
      </c>
    </row>
    <row r="20" spans="1:8" ht="39.75" customHeight="1">
      <c r="A20" s="276" t="s">
        <v>7</v>
      </c>
      <c r="B20" s="39" t="s">
        <v>35</v>
      </c>
      <c r="C20" s="39" t="s">
        <v>513</v>
      </c>
      <c r="D20" s="39" t="s">
        <v>514</v>
      </c>
      <c r="E20" s="39" t="s">
        <v>43</v>
      </c>
      <c r="F20" s="39" t="s">
        <v>515</v>
      </c>
      <c r="G20" s="318" t="s">
        <v>45</v>
      </c>
      <c r="H20" s="319"/>
    </row>
    <row r="21" ht="12.75">
      <c r="A21" s="280" t="s">
        <v>14</v>
      </c>
    </row>
    <row r="23" spans="1:8" ht="12.75">
      <c r="A23" s="40">
        <v>2003</v>
      </c>
      <c r="B23" s="33">
        <f>'T1'!D32</f>
        <v>9120</v>
      </c>
      <c r="C23" s="33">
        <f>'T1'!G32</f>
        <v>21590</v>
      </c>
      <c r="D23" s="279" t="s">
        <v>361</v>
      </c>
      <c r="E23" s="33">
        <f aca="true" t="shared" si="0" ref="E23:E28">C23+B23</f>
        <v>30710</v>
      </c>
      <c r="F23" s="33">
        <f>'T1'!H32</f>
        <v>16640</v>
      </c>
      <c r="G23" s="274">
        <f aca="true" t="shared" si="1" ref="G23:G28">E23-F23</f>
        <v>14070</v>
      </c>
      <c r="H23" s="33"/>
    </row>
    <row r="24" spans="1:8" ht="12.75">
      <c r="A24" s="40">
        <f>A23+1</f>
        <v>2004</v>
      </c>
      <c r="B24" s="33">
        <f>'T1'!D54</f>
        <v>9490</v>
      </c>
      <c r="C24" s="33">
        <f>'T1'!G54</f>
        <v>22450</v>
      </c>
      <c r="D24" s="279" t="s">
        <v>361</v>
      </c>
      <c r="E24" s="33">
        <f t="shared" si="0"/>
        <v>31940</v>
      </c>
      <c r="F24" s="33">
        <f>'T1'!H54</f>
        <v>17400</v>
      </c>
      <c r="G24" s="274">
        <f t="shared" si="1"/>
        <v>14540</v>
      </c>
      <c r="H24" s="33"/>
    </row>
    <row r="25" spans="1:8" ht="12.75">
      <c r="A25" s="40">
        <f>A24+1</f>
        <v>2005</v>
      </c>
      <c r="B25" s="33">
        <f>'T1'!D76</f>
        <v>10040</v>
      </c>
      <c r="C25" s="33">
        <f>'T1'!G76</f>
        <v>23740</v>
      </c>
      <c r="D25" s="279" t="s">
        <v>361</v>
      </c>
      <c r="E25" s="33">
        <f t="shared" si="0"/>
        <v>33780</v>
      </c>
      <c r="F25" s="33">
        <f>'T1'!H76</f>
        <v>17530</v>
      </c>
      <c r="G25" s="274">
        <f t="shared" si="1"/>
        <v>16250</v>
      </c>
      <c r="H25" s="33"/>
    </row>
    <row r="26" spans="1:8" ht="12.75">
      <c r="A26" s="40">
        <f>A25+1</f>
        <v>2006</v>
      </c>
      <c r="B26" s="33">
        <f>'T1'!D98</f>
        <v>9150</v>
      </c>
      <c r="C26" s="33">
        <f>'T1'!G98</f>
        <v>21650</v>
      </c>
      <c r="D26" s="279" t="s">
        <v>361</v>
      </c>
      <c r="E26" s="33">
        <f t="shared" si="0"/>
        <v>30800</v>
      </c>
      <c r="F26" s="33">
        <f>'T1'!H98</f>
        <v>17440</v>
      </c>
      <c r="G26" s="274">
        <f t="shared" si="1"/>
        <v>13360</v>
      </c>
      <c r="H26" s="33"/>
    </row>
    <row r="27" spans="1:8" ht="12.75">
      <c r="A27" s="40">
        <f>A26+1</f>
        <v>2007</v>
      </c>
      <c r="B27" s="33">
        <f>'T1'!D120</f>
        <v>9920</v>
      </c>
      <c r="C27" s="33">
        <f>'T1'!G120</f>
        <v>23480</v>
      </c>
      <c r="D27" s="279" t="s">
        <v>361</v>
      </c>
      <c r="E27" s="33">
        <f t="shared" si="0"/>
        <v>33400</v>
      </c>
      <c r="F27" s="33">
        <f>'T1'!H120</f>
        <v>17780</v>
      </c>
      <c r="G27" s="274">
        <f t="shared" si="1"/>
        <v>15620</v>
      </c>
      <c r="H27" s="33"/>
    </row>
    <row r="28" spans="1:8" ht="13.5" thickBot="1">
      <c r="A28" s="40">
        <f>A27+1</f>
        <v>2008</v>
      </c>
      <c r="B28" s="364">
        <f>'T1'!D142</f>
        <v>9800</v>
      </c>
      <c r="C28" s="365">
        <f>'T1'!G142</f>
        <v>23180</v>
      </c>
      <c r="D28" s="366" t="s">
        <v>361</v>
      </c>
      <c r="E28" s="365">
        <f t="shared" si="0"/>
        <v>32980</v>
      </c>
      <c r="F28" s="365">
        <f>'T1'!H142</f>
        <v>15620</v>
      </c>
      <c r="G28" s="367">
        <f t="shared" si="1"/>
        <v>17360</v>
      </c>
      <c r="H28" s="33"/>
    </row>
    <row r="29" spans="1:8" ht="13.5" thickTop="1">
      <c r="A29" s="363" t="s">
        <v>599</v>
      </c>
      <c r="B29" s="33">
        <f>AVERAGE(B23:B27)</f>
        <v>9544</v>
      </c>
      <c r="C29" s="33">
        <f>AVERAGE(C23:C27)</f>
        <v>22582</v>
      </c>
      <c r="D29" s="279"/>
      <c r="E29" s="33">
        <f aca="true" t="shared" si="2" ref="E29:G30">AVERAGE(E23:E27)</f>
        <v>32126</v>
      </c>
      <c r="F29" s="33">
        <f t="shared" si="2"/>
        <v>17358</v>
      </c>
      <c r="G29" s="274">
        <f t="shared" si="2"/>
        <v>14768</v>
      </c>
      <c r="H29" s="33"/>
    </row>
    <row r="30" spans="1:7" ht="12.75">
      <c r="A30" s="363" t="s">
        <v>598</v>
      </c>
      <c r="B30" s="33">
        <f>AVERAGE(B24:B28)</f>
        <v>9680</v>
      </c>
      <c r="C30" s="33">
        <f>AVERAGE(C24:C28)</f>
        <v>22900</v>
      </c>
      <c r="D30" s="33"/>
      <c r="E30" s="33">
        <f t="shared" si="2"/>
        <v>32580</v>
      </c>
      <c r="F30" s="33">
        <f t="shared" si="2"/>
        <v>17154</v>
      </c>
      <c r="G30" s="274">
        <f t="shared" si="2"/>
        <v>15426</v>
      </c>
    </row>
    <row r="31" spans="1:7" ht="12.75">
      <c r="A31" s="40"/>
      <c r="B31" s="33"/>
      <c r="G31" s="274"/>
    </row>
    <row r="32" spans="1:7" ht="12.75">
      <c r="A32" s="280" t="s">
        <v>15</v>
      </c>
      <c r="G32" s="274"/>
    </row>
    <row r="33" spans="1:7" ht="12.75">
      <c r="A33" s="40"/>
      <c r="G33" s="274"/>
    </row>
    <row r="34" spans="1:8" ht="12.75">
      <c r="A34" s="40">
        <v>2003</v>
      </c>
      <c r="B34" s="33">
        <f>'T1'!D33</f>
        <v>1500</v>
      </c>
      <c r="C34" s="33">
        <f>'T1'!G33</f>
        <v>-10</v>
      </c>
      <c r="D34" s="279" t="s">
        <v>361</v>
      </c>
      <c r="E34" s="33">
        <f aca="true" t="shared" si="3" ref="E34:E39">C34+B34</f>
        <v>1490</v>
      </c>
      <c r="F34" s="33">
        <f>'T1'!H33</f>
        <v>240</v>
      </c>
      <c r="G34" s="274">
        <f aca="true" t="shared" si="4" ref="G34:G39">E34-F34</f>
        <v>1250</v>
      </c>
      <c r="H34" s="33"/>
    </row>
    <row r="35" spans="1:8" ht="12.75">
      <c r="A35" s="40">
        <f>A34+1</f>
        <v>2004</v>
      </c>
      <c r="B35" s="33">
        <f>'T1'!D55</f>
        <v>1000</v>
      </c>
      <c r="C35" s="33">
        <f>'T1'!G55</f>
        <v>-10</v>
      </c>
      <c r="D35" s="279" t="s">
        <v>361</v>
      </c>
      <c r="E35" s="33">
        <f t="shared" si="3"/>
        <v>990</v>
      </c>
      <c r="F35" s="33">
        <f>'T1'!H55</f>
        <v>350</v>
      </c>
      <c r="G35" s="274">
        <f t="shared" si="4"/>
        <v>640</v>
      </c>
      <c r="H35" s="33"/>
    </row>
    <row r="36" spans="1:8" ht="12.75">
      <c r="A36" s="40">
        <f>A35+1</f>
        <v>2005</v>
      </c>
      <c r="B36" s="33">
        <f>'T1'!D77</f>
        <v>1860</v>
      </c>
      <c r="C36" s="33">
        <f>'T1'!G77</f>
        <v>-10</v>
      </c>
      <c r="D36" s="279" t="s">
        <v>361</v>
      </c>
      <c r="E36" s="33">
        <f t="shared" si="3"/>
        <v>1850</v>
      </c>
      <c r="F36" s="33">
        <f>'T1'!H77</f>
        <v>810</v>
      </c>
      <c r="G36" s="274">
        <f t="shared" si="4"/>
        <v>1040</v>
      </c>
      <c r="H36" s="33"/>
    </row>
    <row r="37" spans="1:8" ht="12.75">
      <c r="A37" s="40">
        <f>A36+1</f>
        <v>2006</v>
      </c>
      <c r="B37" s="33">
        <f>'T1'!D99</f>
        <v>1400</v>
      </c>
      <c r="C37" s="33">
        <f>'T1'!G99</f>
        <v>-10</v>
      </c>
      <c r="D37" s="279" t="s">
        <v>361</v>
      </c>
      <c r="E37" s="33">
        <f t="shared" si="3"/>
        <v>1390</v>
      </c>
      <c r="F37" s="33">
        <f>'T1'!H99</f>
        <v>1120</v>
      </c>
      <c r="G37" s="274">
        <f t="shared" si="4"/>
        <v>270</v>
      </c>
      <c r="H37" s="33"/>
    </row>
    <row r="38" spans="1:7" ht="12.75">
      <c r="A38" s="40">
        <f>A37+1</f>
        <v>2007</v>
      </c>
      <c r="B38" s="33">
        <f>'T1'!D121</f>
        <v>2120</v>
      </c>
      <c r="C38" s="33">
        <f>'T1'!G121</f>
        <v>-10</v>
      </c>
      <c r="D38" s="279" t="s">
        <v>361</v>
      </c>
      <c r="E38" s="33">
        <f t="shared" si="3"/>
        <v>2110</v>
      </c>
      <c r="F38" s="33">
        <f>'T1'!H121</f>
        <v>1140</v>
      </c>
      <c r="G38" s="274">
        <f t="shared" si="4"/>
        <v>970</v>
      </c>
    </row>
    <row r="39" spans="1:7" ht="13.5" thickBot="1">
      <c r="A39" s="40">
        <f>A38+1</f>
        <v>2008</v>
      </c>
      <c r="B39" s="364">
        <f>'T1'!D143</f>
        <v>2540</v>
      </c>
      <c r="C39" s="365">
        <f>'T1'!G143</f>
        <v>-10</v>
      </c>
      <c r="D39" s="366" t="s">
        <v>361</v>
      </c>
      <c r="E39" s="365">
        <f t="shared" si="3"/>
        <v>2530</v>
      </c>
      <c r="F39" s="365">
        <f>'T1'!H143</f>
        <v>1420</v>
      </c>
      <c r="G39" s="367">
        <f t="shared" si="4"/>
        <v>1110</v>
      </c>
    </row>
    <row r="40" spans="1:7" ht="13.5" thickTop="1">
      <c r="A40" s="363" t="s">
        <v>599</v>
      </c>
      <c r="B40" s="33">
        <f>AVERAGE(B34:B38)</f>
        <v>1576</v>
      </c>
      <c r="C40" s="33">
        <f>AVERAGE(C34:C38)</f>
        <v>-10</v>
      </c>
      <c r="D40" s="279"/>
      <c r="E40" s="33">
        <f aca="true" t="shared" si="5" ref="E40:G41">AVERAGE(E34:E38)</f>
        <v>1566</v>
      </c>
      <c r="F40" s="33">
        <f t="shared" si="5"/>
        <v>732</v>
      </c>
      <c r="G40" s="274">
        <f t="shared" si="5"/>
        <v>834</v>
      </c>
    </row>
    <row r="41" spans="1:7" ht="12.75">
      <c r="A41" s="363" t="s">
        <v>598</v>
      </c>
      <c r="B41" s="33">
        <f>AVERAGE(B35:B39)</f>
        <v>1784</v>
      </c>
      <c r="C41" s="33">
        <f>AVERAGE(C35:C39)</f>
        <v>-10</v>
      </c>
      <c r="D41" s="33"/>
      <c r="E41" s="33">
        <f t="shared" si="5"/>
        <v>1774</v>
      </c>
      <c r="F41" s="33">
        <f t="shared" si="5"/>
        <v>968</v>
      </c>
      <c r="G41" s="274">
        <f t="shared" si="5"/>
        <v>806</v>
      </c>
    </row>
    <row r="42" spans="1:7" ht="12.75">
      <c r="A42" s="40"/>
      <c r="G42" s="274"/>
    </row>
    <row r="43" spans="1:8" ht="12.75">
      <c r="A43" s="280" t="s">
        <v>17</v>
      </c>
      <c r="G43" s="274"/>
      <c r="H43" s="33"/>
    </row>
    <row r="44" spans="1:8" ht="12.75">
      <c r="A44" s="40"/>
      <c r="B44" s="33"/>
      <c r="G44" s="274"/>
      <c r="H44" s="33"/>
    </row>
    <row r="45" spans="1:8" ht="12.75">
      <c r="A45" s="40">
        <v>2003</v>
      </c>
      <c r="B45" s="33">
        <f>'T1'!D36</f>
        <v>10540</v>
      </c>
      <c r="C45" s="33">
        <f>'T1'!G36</f>
        <v>3320</v>
      </c>
      <c r="D45" s="279" t="s">
        <v>361</v>
      </c>
      <c r="E45" s="33">
        <f aca="true" t="shared" si="6" ref="E45:E50">C45+B45</f>
        <v>13860</v>
      </c>
      <c r="F45" s="33">
        <f>'T1'!H36</f>
        <v>16090</v>
      </c>
      <c r="G45" s="274">
        <f aca="true" t="shared" si="7" ref="G45:G50">E45-F45</f>
        <v>-2230</v>
      </c>
      <c r="H45" s="33"/>
    </row>
    <row r="46" spans="1:8" ht="12.75">
      <c r="A46" s="40">
        <f>A45+1</f>
        <v>2004</v>
      </c>
      <c r="B46" s="33">
        <f>'T1'!D58</f>
        <v>10690</v>
      </c>
      <c r="C46" s="33">
        <f>'T1'!G58</f>
        <v>3370</v>
      </c>
      <c r="D46" s="279" t="s">
        <v>361</v>
      </c>
      <c r="E46" s="33">
        <f t="shared" si="6"/>
        <v>14060</v>
      </c>
      <c r="F46" s="33">
        <f>'T1'!H58</f>
        <v>16800</v>
      </c>
      <c r="G46" s="274">
        <f t="shared" si="7"/>
        <v>-2740</v>
      </c>
      <c r="H46" s="33"/>
    </row>
    <row r="47" spans="1:8" ht="12.75">
      <c r="A47" s="40">
        <f>A46+1</f>
        <v>2005</v>
      </c>
      <c r="B47" s="33">
        <f>'T1'!D80</f>
        <v>12230</v>
      </c>
      <c r="C47" s="33">
        <f>'T1'!G80</f>
        <v>3850</v>
      </c>
      <c r="D47" s="279" t="s">
        <v>361</v>
      </c>
      <c r="E47" s="33">
        <f t="shared" si="6"/>
        <v>16080</v>
      </c>
      <c r="F47" s="33">
        <f>'T1'!H80</f>
        <v>18660</v>
      </c>
      <c r="G47" s="274">
        <f t="shared" si="7"/>
        <v>-2580</v>
      </c>
      <c r="H47" s="33"/>
    </row>
    <row r="48" spans="1:8" ht="12.75">
      <c r="A48" s="40">
        <f>A47+1</f>
        <v>2006</v>
      </c>
      <c r="B48" s="33">
        <f>'T1'!D102</f>
        <v>9120</v>
      </c>
      <c r="C48" s="33">
        <f>'T1'!G102</f>
        <v>2880</v>
      </c>
      <c r="D48" s="279" t="s">
        <v>361</v>
      </c>
      <c r="E48" s="33">
        <f t="shared" si="6"/>
        <v>12000</v>
      </c>
      <c r="F48" s="33">
        <f>'T1'!H102</f>
        <v>14790</v>
      </c>
      <c r="G48" s="274">
        <f t="shared" si="7"/>
        <v>-2790</v>
      </c>
      <c r="H48" s="33"/>
    </row>
    <row r="49" spans="1:8" ht="12.75">
      <c r="A49" s="40">
        <f>A48+1</f>
        <v>2007</v>
      </c>
      <c r="B49" s="33">
        <f>'T1'!D124</f>
        <v>10160</v>
      </c>
      <c r="C49" s="33">
        <f>'T1'!G124</f>
        <v>3210</v>
      </c>
      <c r="D49" s="279" t="s">
        <v>361</v>
      </c>
      <c r="E49" s="33">
        <f t="shared" si="6"/>
        <v>13370</v>
      </c>
      <c r="F49" s="33">
        <f>'T1'!H124</f>
        <v>15490</v>
      </c>
      <c r="G49" s="274">
        <f t="shared" si="7"/>
        <v>-2120</v>
      </c>
      <c r="H49" s="33"/>
    </row>
    <row r="50" spans="1:8" ht="13.5" thickBot="1">
      <c r="A50" s="40">
        <f>A49+1</f>
        <v>2008</v>
      </c>
      <c r="B50" s="364">
        <f>'T1'!D146</f>
        <v>10320</v>
      </c>
      <c r="C50" s="365">
        <f>'T1'!G146</f>
        <v>3250</v>
      </c>
      <c r="D50" s="366" t="s">
        <v>361</v>
      </c>
      <c r="E50" s="365">
        <f t="shared" si="6"/>
        <v>13570</v>
      </c>
      <c r="F50" s="365">
        <f>'T1'!H146</f>
        <v>14920</v>
      </c>
      <c r="G50" s="367">
        <f t="shared" si="7"/>
        <v>-1350</v>
      </c>
      <c r="H50" s="33"/>
    </row>
    <row r="51" spans="1:8" ht="13.5" thickTop="1">
      <c r="A51" s="363" t="s">
        <v>599</v>
      </c>
      <c r="B51" s="33">
        <f>AVERAGE(B45:B49)</f>
        <v>10548</v>
      </c>
      <c r="C51" s="33">
        <f>AVERAGE(C45:C49)</f>
        <v>3326</v>
      </c>
      <c r="D51" s="279"/>
      <c r="E51" s="33">
        <f aca="true" t="shared" si="8" ref="E51:G52">AVERAGE(E45:E49)</f>
        <v>13874</v>
      </c>
      <c r="F51" s="33">
        <f t="shared" si="8"/>
        <v>16366</v>
      </c>
      <c r="G51" s="274">
        <f t="shared" si="8"/>
        <v>-2492</v>
      </c>
      <c r="H51" s="33"/>
    </row>
    <row r="52" spans="1:8" ht="12.75">
      <c r="A52" s="363" t="s">
        <v>598</v>
      </c>
      <c r="B52" s="33">
        <f>AVERAGE(B46:B50)</f>
        <v>10504</v>
      </c>
      <c r="C52" s="33">
        <f>AVERAGE(C46:C50)</f>
        <v>3312</v>
      </c>
      <c r="E52" s="33">
        <f t="shared" si="8"/>
        <v>13816</v>
      </c>
      <c r="F52" s="33">
        <f t="shared" si="8"/>
        <v>16132</v>
      </c>
      <c r="G52" s="274">
        <f t="shared" si="8"/>
        <v>-2316</v>
      </c>
      <c r="H52" s="33"/>
    </row>
    <row r="53" ht="12.75">
      <c r="G53" s="274"/>
    </row>
    <row r="54" spans="1:7" ht="12.75">
      <c r="A54" s="3" t="s">
        <v>22</v>
      </c>
      <c r="G54" s="274"/>
    </row>
    <row r="55" ht="12.75">
      <c r="G55" s="274"/>
    </row>
    <row r="56" spans="1:8" ht="12.75">
      <c r="A56" s="40">
        <v>2003</v>
      </c>
      <c r="B56" s="33">
        <f>'T1'!D41</f>
        <v>260</v>
      </c>
      <c r="C56" s="33">
        <f>'T1'!G41</f>
        <v>10</v>
      </c>
      <c r="D56" s="279" t="s">
        <v>361</v>
      </c>
      <c r="E56" s="33">
        <f aca="true" t="shared" si="9" ref="E56:E61">C56+B56</f>
        <v>270</v>
      </c>
      <c r="F56" s="33">
        <f>'T1'!H41</f>
        <v>0</v>
      </c>
      <c r="G56" s="274">
        <f aca="true" t="shared" si="10" ref="G56:G61">E56-F56</f>
        <v>270</v>
      </c>
      <c r="H56" s="33"/>
    </row>
    <row r="57" spans="1:8" ht="12.75">
      <c r="A57" s="40">
        <f>A56+1</f>
        <v>2004</v>
      </c>
      <c r="B57" s="33">
        <f>'T1'!D63</f>
        <v>360</v>
      </c>
      <c r="C57" s="33">
        <f>'T1'!G63</f>
        <v>10</v>
      </c>
      <c r="D57" s="279" t="s">
        <v>361</v>
      </c>
      <c r="E57" s="33">
        <f t="shared" si="9"/>
        <v>370</v>
      </c>
      <c r="F57" s="33">
        <f>'T1'!H63</f>
        <v>0</v>
      </c>
      <c r="G57" s="274">
        <f t="shared" si="10"/>
        <v>370</v>
      </c>
      <c r="H57" s="33"/>
    </row>
    <row r="58" spans="1:8" ht="12.75">
      <c r="A58" s="40">
        <f>A57+1</f>
        <v>2005</v>
      </c>
      <c r="B58" s="33">
        <f>'T1'!D85</f>
        <v>910</v>
      </c>
      <c r="C58" s="33">
        <f>'T1'!G85</f>
        <v>30</v>
      </c>
      <c r="D58" s="279" t="s">
        <v>361</v>
      </c>
      <c r="E58" s="33">
        <f t="shared" si="9"/>
        <v>940</v>
      </c>
      <c r="F58" s="33">
        <f>'T1'!H85</f>
        <v>0</v>
      </c>
      <c r="G58" s="274">
        <f t="shared" si="10"/>
        <v>940</v>
      </c>
      <c r="H58" s="33"/>
    </row>
    <row r="59" spans="1:8" ht="12.75">
      <c r="A59" s="40">
        <f>A58+1</f>
        <v>2006</v>
      </c>
      <c r="B59" s="33">
        <f>'T1'!D107</f>
        <v>1420</v>
      </c>
      <c r="C59" s="33">
        <f>'T1'!G107</f>
        <v>40</v>
      </c>
      <c r="D59" s="279" t="s">
        <v>361</v>
      </c>
      <c r="E59" s="33">
        <f t="shared" si="9"/>
        <v>1460</v>
      </c>
      <c r="F59" s="33">
        <f>'T1'!H107</f>
        <v>0</v>
      </c>
      <c r="G59" s="274">
        <f t="shared" si="10"/>
        <v>1460</v>
      </c>
      <c r="H59" s="33"/>
    </row>
    <row r="60" spans="1:7" ht="12.75">
      <c r="A60" s="40">
        <f>A59+1</f>
        <v>2007</v>
      </c>
      <c r="B60" s="33">
        <f>'T1'!D129</f>
        <v>2320</v>
      </c>
      <c r="C60" s="33">
        <f>'T1'!G129</f>
        <v>70</v>
      </c>
      <c r="D60" s="279" t="s">
        <v>361</v>
      </c>
      <c r="E60" s="33">
        <f t="shared" si="9"/>
        <v>2390</v>
      </c>
      <c r="F60" s="33">
        <f>'T1'!H129</f>
        <v>0</v>
      </c>
      <c r="G60" s="274">
        <f t="shared" si="10"/>
        <v>2390</v>
      </c>
    </row>
    <row r="61" spans="1:7" ht="13.5" thickBot="1">
      <c r="A61" s="40">
        <f>A60+1</f>
        <v>2008</v>
      </c>
      <c r="B61" s="364">
        <f>'T1'!D151</f>
        <v>2840</v>
      </c>
      <c r="C61" s="365">
        <f>'T1'!G151</f>
        <v>80</v>
      </c>
      <c r="D61" s="366" t="s">
        <v>361</v>
      </c>
      <c r="E61" s="365">
        <f t="shared" si="9"/>
        <v>2920</v>
      </c>
      <c r="F61" s="365">
        <f>'T1'!H151</f>
        <v>0</v>
      </c>
      <c r="G61" s="367">
        <f t="shared" si="10"/>
        <v>2920</v>
      </c>
    </row>
    <row r="62" spans="1:7" ht="13.5" thickTop="1">
      <c r="A62" s="363" t="s">
        <v>599</v>
      </c>
      <c r="B62" s="33">
        <f>AVERAGE(B56:B60)</f>
        <v>1054</v>
      </c>
      <c r="C62" s="33">
        <f>AVERAGE(C56:C60)</f>
        <v>32</v>
      </c>
      <c r="D62" s="279"/>
      <c r="E62" s="33">
        <f aca="true" t="shared" si="11" ref="E62:G63">AVERAGE(E56:E60)</f>
        <v>1086</v>
      </c>
      <c r="F62" s="33">
        <f t="shared" si="11"/>
        <v>0</v>
      </c>
      <c r="G62" s="274">
        <f t="shared" si="11"/>
        <v>1086</v>
      </c>
    </row>
    <row r="63" spans="1:7" ht="12.75">
      <c r="A63" s="363" t="s">
        <v>598</v>
      </c>
      <c r="B63" s="33">
        <f>AVERAGE(B57:B61)</f>
        <v>1570</v>
      </c>
      <c r="C63" s="33">
        <f>AVERAGE(C57:C61)</f>
        <v>46</v>
      </c>
      <c r="E63" s="33">
        <f t="shared" si="11"/>
        <v>1616</v>
      </c>
      <c r="F63" s="33">
        <f t="shared" si="11"/>
        <v>0</v>
      </c>
      <c r="G63" s="274">
        <f t="shared" si="11"/>
        <v>1616</v>
      </c>
    </row>
    <row r="64" ht="12.75">
      <c r="H64" s="33"/>
    </row>
    <row r="65" ht="12.75">
      <c r="A65" s="277" t="s">
        <v>517</v>
      </c>
    </row>
    <row r="66" spans="1:8" ht="38.25">
      <c r="A66" s="39" t="s">
        <v>7</v>
      </c>
      <c r="B66" s="39" t="s">
        <v>35</v>
      </c>
      <c r="C66" s="39" t="s">
        <v>513</v>
      </c>
      <c r="D66" s="192" t="s">
        <v>518</v>
      </c>
      <c r="E66" s="39" t="s">
        <v>36</v>
      </c>
      <c r="F66" s="39" t="s">
        <v>519</v>
      </c>
      <c r="G66" s="39" t="s">
        <v>3</v>
      </c>
      <c r="H66" s="39" t="s">
        <v>45</v>
      </c>
    </row>
    <row r="68" ht="12.75">
      <c r="A68" s="280" t="s">
        <v>15</v>
      </c>
    </row>
    <row r="69" spans="1:10" ht="12.75">
      <c r="A69" s="40"/>
      <c r="J69" s="33"/>
    </row>
    <row r="70" spans="1:10" ht="12.75">
      <c r="A70" s="40">
        <v>2003</v>
      </c>
      <c r="B70" s="33">
        <f>'T1'!E33</f>
        <v>100</v>
      </c>
      <c r="C70" s="33">
        <f>'T1'!G33</f>
        <v>-10</v>
      </c>
      <c r="D70" s="33">
        <f>MAX(0,'T1'!D33-'T1'!H33)</f>
        <v>1260</v>
      </c>
      <c r="E70" s="279" t="s">
        <v>361</v>
      </c>
      <c r="F70" s="33">
        <f aca="true" t="shared" si="12" ref="F70:F75">SUM(B70:D70)</f>
        <v>1350</v>
      </c>
      <c r="G70" s="33">
        <f>'T1'!I33</f>
        <v>100</v>
      </c>
      <c r="H70" s="274">
        <f aca="true" t="shared" si="13" ref="H70:H75">F70-G70</f>
        <v>1250</v>
      </c>
      <c r="I70" s="33"/>
      <c r="J70" s="33"/>
    </row>
    <row r="71" spans="1:10" ht="12.75">
      <c r="A71" s="40">
        <f>A70+1</f>
        <v>2004</v>
      </c>
      <c r="B71" s="33">
        <f>'T1'!E55</f>
        <v>70</v>
      </c>
      <c r="C71" s="33">
        <f>'T1'!G55</f>
        <v>-10</v>
      </c>
      <c r="D71" s="33">
        <f>MAX(0,'T1'!D55-'T1'!H55)</f>
        <v>650</v>
      </c>
      <c r="E71" s="279" t="s">
        <v>361</v>
      </c>
      <c r="F71" s="33">
        <f t="shared" si="12"/>
        <v>710</v>
      </c>
      <c r="G71" s="33">
        <f>'T1'!I55</f>
        <v>160</v>
      </c>
      <c r="H71" s="274">
        <f t="shared" si="13"/>
        <v>550</v>
      </c>
      <c r="J71" s="33"/>
    </row>
    <row r="72" spans="1:10" ht="12.75">
      <c r="A72" s="40">
        <f>A71+1</f>
        <v>2005</v>
      </c>
      <c r="B72" s="33">
        <f>'T1'!E77</f>
        <v>120</v>
      </c>
      <c r="C72" s="33">
        <f>'T1'!G77</f>
        <v>-10</v>
      </c>
      <c r="D72" s="33">
        <f>MAX(0,'T1'!D77-'T1'!H77)</f>
        <v>1050</v>
      </c>
      <c r="E72" s="279" t="s">
        <v>361</v>
      </c>
      <c r="F72" s="33">
        <f t="shared" si="12"/>
        <v>1160</v>
      </c>
      <c r="G72" s="33">
        <f>'T1'!I77</f>
        <v>160</v>
      </c>
      <c r="H72" s="274">
        <f t="shared" si="13"/>
        <v>1000</v>
      </c>
      <c r="J72" s="33"/>
    </row>
    <row r="73" spans="1:10" ht="12.75">
      <c r="A73" s="40">
        <f>A72+1</f>
        <v>2006</v>
      </c>
      <c r="B73" s="33">
        <f>'T1'!E99</f>
        <v>90</v>
      </c>
      <c r="C73" s="33">
        <f>'T1'!G99</f>
        <v>-10</v>
      </c>
      <c r="D73" s="33">
        <f>MAX(0,'T1'!D99-'T1'!H99)</f>
        <v>280</v>
      </c>
      <c r="E73" s="279" t="s">
        <v>361</v>
      </c>
      <c r="F73" s="33">
        <f t="shared" si="12"/>
        <v>360</v>
      </c>
      <c r="G73" s="33">
        <f>'T1'!I99</f>
        <v>130</v>
      </c>
      <c r="H73" s="274">
        <f t="shared" si="13"/>
        <v>230</v>
      </c>
      <c r="J73" s="33"/>
    </row>
    <row r="74" spans="1:10" ht="12.75">
      <c r="A74" s="40">
        <f>A73+1</f>
        <v>2007</v>
      </c>
      <c r="B74" s="33">
        <f>'T1'!E121</f>
        <v>140</v>
      </c>
      <c r="C74" s="33">
        <f>'T1'!G121</f>
        <v>-10</v>
      </c>
      <c r="D74" s="33">
        <f>MAX(0,'T1'!D121-'T1'!H121)</f>
        <v>980</v>
      </c>
      <c r="E74" s="279" t="s">
        <v>361</v>
      </c>
      <c r="F74" s="33">
        <f t="shared" si="12"/>
        <v>1110</v>
      </c>
      <c r="G74" s="33">
        <f>'T1'!I121</f>
        <v>120</v>
      </c>
      <c r="H74" s="274">
        <f t="shared" si="13"/>
        <v>990</v>
      </c>
      <c r="J74" s="33"/>
    </row>
    <row r="75" spans="1:10" ht="13.5" thickBot="1">
      <c r="A75" s="40">
        <f>A74+1</f>
        <v>2008</v>
      </c>
      <c r="B75" s="364">
        <f>'T1'!E143</f>
        <v>160</v>
      </c>
      <c r="C75" s="365">
        <f>'T1'!G143</f>
        <v>-10</v>
      </c>
      <c r="D75" s="365">
        <f>MAX(0,'T1'!D143-'T1'!H143)</f>
        <v>1120</v>
      </c>
      <c r="E75" s="366" t="s">
        <v>361</v>
      </c>
      <c r="F75" s="365">
        <f t="shared" si="12"/>
        <v>1270</v>
      </c>
      <c r="G75" s="365">
        <f>'T1'!I143</f>
        <v>110</v>
      </c>
      <c r="H75" s="367">
        <f t="shared" si="13"/>
        <v>1160</v>
      </c>
      <c r="J75" s="33"/>
    </row>
    <row r="76" spans="1:10" ht="13.5" thickTop="1">
      <c r="A76" s="363" t="s">
        <v>599</v>
      </c>
      <c r="B76" s="33">
        <f aca="true" t="shared" si="14" ref="B76:D77">AVERAGE(B70:B74)</f>
        <v>104</v>
      </c>
      <c r="C76" s="33">
        <f t="shared" si="14"/>
        <v>-10</v>
      </c>
      <c r="D76" s="33">
        <f t="shared" si="14"/>
        <v>844</v>
      </c>
      <c r="E76" s="279"/>
      <c r="F76" s="33">
        <f aca="true" t="shared" si="15" ref="F76:H77">AVERAGE(F70:F74)</f>
        <v>938</v>
      </c>
      <c r="G76" s="33">
        <f t="shared" si="15"/>
        <v>134</v>
      </c>
      <c r="H76" s="274">
        <f t="shared" si="15"/>
        <v>804</v>
      </c>
      <c r="J76" s="33"/>
    </row>
    <row r="77" spans="1:10" ht="12.75">
      <c r="A77" s="363" t="s">
        <v>598</v>
      </c>
      <c r="B77" s="33">
        <f t="shared" si="14"/>
        <v>116</v>
      </c>
      <c r="C77" s="33">
        <f t="shared" si="14"/>
        <v>-10</v>
      </c>
      <c r="D77" s="33">
        <f t="shared" si="14"/>
        <v>816</v>
      </c>
      <c r="E77" s="33"/>
      <c r="F77" s="33">
        <f t="shared" si="15"/>
        <v>922</v>
      </c>
      <c r="G77" s="33">
        <f t="shared" si="15"/>
        <v>136</v>
      </c>
      <c r="H77" s="274">
        <f t="shared" si="15"/>
        <v>786</v>
      </c>
      <c r="J77" s="33"/>
    </row>
    <row r="78" spans="1:10" ht="12.75">
      <c r="A78" s="40"/>
      <c r="H78" s="274"/>
      <c r="J78" s="33"/>
    </row>
    <row r="79" spans="1:8" ht="12.75">
      <c r="A79" s="280" t="s">
        <v>17</v>
      </c>
      <c r="H79" s="274"/>
    </row>
    <row r="80" spans="1:9" ht="12.75">
      <c r="A80" s="40"/>
      <c r="H80" s="274"/>
      <c r="I80" s="33"/>
    </row>
    <row r="81" spans="1:9" ht="12.75">
      <c r="A81" s="40">
        <v>2003</v>
      </c>
      <c r="B81" s="33">
        <f>'T1'!E36</f>
        <v>9540</v>
      </c>
      <c r="C81" s="33">
        <f>'T1'!G36</f>
        <v>3320</v>
      </c>
      <c r="D81" s="33">
        <f>MAX(0,'T1'!D36-'T1'!H36)</f>
        <v>0</v>
      </c>
      <c r="E81" s="279" t="s">
        <v>361</v>
      </c>
      <c r="F81" s="33">
        <f aca="true" t="shared" si="16" ref="F81:F86">SUM(B81:D81)</f>
        <v>12860</v>
      </c>
      <c r="G81" s="33">
        <f>'T1'!I36</f>
        <v>5380</v>
      </c>
      <c r="H81" s="274">
        <f aca="true" t="shared" si="17" ref="H81:H86">F81-G81</f>
        <v>7480</v>
      </c>
      <c r="I81" s="33"/>
    </row>
    <row r="82" spans="1:9" ht="12.75">
      <c r="A82" s="40">
        <f>A81+1</f>
        <v>2004</v>
      </c>
      <c r="B82" s="33">
        <f>'T1'!E58</f>
        <v>9680</v>
      </c>
      <c r="C82" s="33">
        <f>'T1'!G58</f>
        <v>3370</v>
      </c>
      <c r="D82" s="33">
        <f>MAX(0,'T1'!D58-'T1'!H58)</f>
        <v>0</v>
      </c>
      <c r="E82" s="279" t="s">
        <v>361</v>
      </c>
      <c r="F82" s="33">
        <f t="shared" si="16"/>
        <v>13050</v>
      </c>
      <c r="G82" s="33">
        <f>'T1'!I58</f>
        <v>6080</v>
      </c>
      <c r="H82" s="274">
        <f t="shared" si="17"/>
        <v>6970</v>
      </c>
      <c r="I82" s="33"/>
    </row>
    <row r="83" spans="1:9" ht="12.75">
      <c r="A83" s="40">
        <f>A82+1</f>
        <v>2005</v>
      </c>
      <c r="B83" s="33">
        <f>'T1'!E80</f>
        <v>11080</v>
      </c>
      <c r="C83" s="33">
        <f>'T1'!G80</f>
        <v>3850</v>
      </c>
      <c r="D83" s="33">
        <f>MAX(0,'T1'!D80-'T1'!H80)</f>
        <v>0</v>
      </c>
      <c r="E83" s="279" t="s">
        <v>361</v>
      </c>
      <c r="F83" s="33">
        <f t="shared" si="16"/>
        <v>14930</v>
      </c>
      <c r="G83" s="33">
        <f>'T1'!I80</f>
        <v>7520</v>
      </c>
      <c r="H83" s="274">
        <f t="shared" si="17"/>
        <v>7410</v>
      </c>
      <c r="I83" s="33"/>
    </row>
    <row r="84" spans="1:9" ht="12.75">
      <c r="A84" s="40">
        <f>A83+1</f>
        <v>2006</v>
      </c>
      <c r="B84" s="33">
        <f>'T1'!E102</f>
        <v>8260</v>
      </c>
      <c r="C84" s="33">
        <f>'T1'!G102</f>
        <v>2880</v>
      </c>
      <c r="D84" s="33">
        <f>MAX(0,'T1'!D102-'T1'!H102)</f>
        <v>0</v>
      </c>
      <c r="E84" s="279" t="s">
        <v>361</v>
      </c>
      <c r="F84" s="33">
        <f t="shared" si="16"/>
        <v>11140</v>
      </c>
      <c r="G84" s="33">
        <f>'T1'!I102</f>
        <v>4720</v>
      </c>
      <c r="H84" s="274">
        <f t="shared" si="17"/>
        <v>6420</v>
      </c>
      <c r="I84" s="33"/>
    </row>
    <row r="85" spans="1:9" ht="12.75">
      <c r="A85" s="40">
        <f>A84+1</f>
        <v>2007</v>
      </c>
      <c r="B85" s="33">
        <f>'T1'!E124</f>
        <v>9200</v>
      </c>
      <c r="C85" s="33">
        <f>'T1'!G124</f>
        <v>3210</v>
      </c>
      <c r="D85" s="33">
        <f>MAX(0,'T1'!D124-'T1'!H124)</f>
        <v>0</v>
      </c>
      <c r="E85" s="279" t="s">
        <v>361</v>
      </c>
      <c r="F85" s="33">
        <f t="shared" si="16"/>
        <v>12410</v>
      </c>
      <c r="G85" s="33">
        <f>'T1'!I124</f>
        <v>5670</v>
      </c>
      <c r="H85" s="274">
        <f t="shared" si="17"/>
        <v>6740</v>
      </c>
      <c r="I85" s="33"/>
    </row>
    <row r="86" spans="1:9" ht="13.5" thickBot="1">
      <c r="A86" s="40">
        <f>A85+1</f>
        <v>2008</v>
      </c>
      <c r="B86" s="364">
        <f>'T1'!E146</f>
        <v>9340</v>
      </c>
      <c r="C86" s="365">
        <f>'T1'!G146</f>
        <v>3250</v>
      </c>
      <c r="D86" s="365">
        <f>MAX(0,'T1'!D146-'T1'!H146)</f>
        <v>0</v>
      </c>
      <c r="E86" s="366" t="s">
        <v>361</v>
      </c>
      <c r="F86" s="365">
        <f t="shared" si="16"/>
        <v>12590</v>
      </c>
      <c r="G86" s="365">
        <f>'T1'!I146</f>
        <v>5870</v>
      </c>
      <c r="H86" s="367">
        <f t="shared" si="17"/>
        <v>6720</v>
      </c>
      <c r="I86" s="33"/>
    </row>
    <row r="87" spans="1:9" ht="13.5" thickTop="1">
      <c r="A87" s="363" t="s">
        <v>599</v>
      </c>
      <c r="B87" s="33">
        <f aca="true" t="shared" si="18" ref="B87:D88">AVERAGE(B81:B85)</f>
        <v>9552</v>
      </c>
      <c r="C87" s="33">
        <f t="shared" si="18"/>
        <v>3326</v>
      </c>
      <c r="D87" s="33">
        <f t="shared" si="18"/>
        <v>0</v>
      </c>
      <c r="E87" s="279"/>
      <c r="F87" s="33">
        <f aca="true" t="shared" si="19" ref="F87:H88">AVERAGE(F81:F85)</f>
        <v>12878</v>
      </c>
      <c r="G87" s="33">
        <f t="shared" si="19"/>
        <v>5874</v>
      </c>
      <c r="H87" s="274">
        <f t="shared" si="19"/>
        <v>7004</v>
      </c>
      <c r="I87" s="33"/>
    </row>
    <row r="88" spans="1:9" ht="12.75">
      <c r="A88" s="363" t="s">
        <v>598</v>
      </c>
      <c r="B88" s="33">
        <f t="shared" si="18"/>
        <v>9512</v>
      </c>
      <c r="C88" s="33">
        <f t="shared" si="18"/>
        <v>3312</v>
      </c>
      <c r="D88" s="33">
        <f t="shared" si="18"/>
        <v>0</v>
      </c>
      <c r="E88" s="33"/>
      <c r="F88" s="33">
        <f t="shared" si="19"/>
        <v>12824</v>
      </c>
      <c r="G88" s="33">
        <f t="shared" si="19"/>
        <v>5972</v>
      </c>
      <c r="H88" s="274">
        <f t="shared" si="19"/>
        <v>6852</v>
      </c>
      <c r="I88" s="33"/>
    </row>
    <row r="89" spans="1:9" ht="12.75">
      <c r="A89" s="40"/>
      <c r="H89" s="274"/>
      <c r="I89" s="33"/>
    </row>
    <row r="90" spans="1:9" ht="12.75">
      <c r="A90" s="280" t="s">
        <v>19</v>
      </c>
      <c r="H90" s="274"/>
      <c r="I90" s="33"/>
    </row>
    <row r="91" spans="1:9" ht="12.75">
      <c r="A91" s="40"/>
      <c r="H91" s="274"/>
      <c r="I91" s="33"/>
    </row>
    <row r="92" spans="1:9" ht="12.75">
      <c r="A92" s="40">
        <v>2003</v>
      </c>
      <c r="B92" s="33">
        <f>'T1'!E38</f>
        <v>170</v>
      </c>
      <c r="C92" s="33">
        <f>'T1'!G38</f>
        <v>1910</v>
      </c>
      <c r="D92" s="33">
        <f>MAX(0,'T1'!D38-'T1'!H38)</f>
        <v>0</v>
      </c>
      <c r="E92" s="279" t="s">
        <v>361</v>
      </c>
      <c r="F92" s="33">
        <f aca="true" t="shared" si="20" ref="F92:F97">SUM(B92:D92)</f>
        <v>2080</v>
      </c>
      <c r="G92" s="33">
        <f>'T1'!I38</f>
        <v>0</v>
      </c>
      <c r="H92" s="274">
        <f aca="true" t="shared" si="21" ref="H92:H97">F92-G92</f>
        <v>2080</v>
      </c>
      <c r="I92" s="33"/>
    </row>
    <row r="93" spans="1:9" ht="12.75">
      <c r="A93" s="40">
        <f>A92+1</f>
        <v>2004</v>
      </c>
      <c r="B93" s="33">
        <f>'T1'!E60</f>
        <v>190</v>
      </c>
      <c r="C93" s="33">
        <f>'T1'!G60</f>
        <v>2080</v>
      </c>
      <c r="D93" s="33">
        <f>MAX(0,'T1'!D60-'T1'!H60)</f>
        <v>0</v>
      </c>
      <c r="E93" s="279" t="s">
        <v>361</v>
      </c>
      <c r="F93" s="33">
        <f t="shared" si="20"/>
        <v>2270</v>
      </c>
      <c r="G93" s="33">
        <f>'T1'!I60</f>
        <v>10</v>
      </c>
      <c r="H93" s="274">
        <f t="shared" si="21"/>
        <v>2260</v>
      </c>
      <c r="I93" s="33"/>
    </row>
    <row r="94" spans="1:9" ht="12.75">
      <c r="A94" s="40">
        <f>A93+1</f>
        <v>2005</v>
      </c>
      <c r="B94" s="33">
        <f>'T1'!E82</f>
        <v>230</v>
      </c>
      <c r="C94" s="33">
        <f>'T1'!G82</f>
        <v>2610</v>
      </c>
      <c r="D94" s="33">
        <f>MAX(0,'T1'!D82-'T1'!H82)</f>
        <v>0</v>
      </c>
      <c r="E94" s="279" t="s">
        <v>361</v>
      </c>
      <c r="F94" s="33">
        <f t="shared" si="20"/>
        <v>2840</v>
      </c>
      <c r="G94" s="33">
        <f>'T1'!I82</f>
        <v>10</v>
      </c>
      <c r="H94" s="274">
        <f t="shared" si="21"/>
        <v>2830</v>
      </c>
      <c r="I94" s="33"/>
    </row>
    <row r="95" spans="1:9" ht="12.75">
      <c r="A95" s="40">
        <f>A94+1</f>
        <v>2006</v>
      </c>
      <c r="B95" s="33">
        <f>'T1'!E104</f>
        <v>220</v>
      </c>
      <c r="C95" s="33">
        <f>'T1'!G104</f>
        <v>2410</v>
      </c>
      <c r="D95" s="33">
        <f>MAX(0,'T1'!D104-'T1'!H104)</f>
        <v>0</v>
      </c>
      <c r="E95" s="279" t="s">
        <v>361</v>
      </c>
      <c r="F95" s="33">
        <f t="shared" si="20"/>
        <v>2630</v>
      </c>
      <c r="G95" s="33">
        <f>'T1'!I104</f>
        <v>10</v>
      </c>
      <c r="H95" s="274">
        <f t="shared" si="21"/>
        <v>2620</v>
      </c>
      <c r="I95" s="33"/>
    </row>
    <row r="96" spans="1:9" ht="12.75">
      <c r="A96" s="40">
        <f>A95+1</f>
        <v>2007</v>
      </c>
      <c r="B96" s="33">
        <f>'T1'!E126</f>
        <v>390</v>
      </c>
      <c r="C96" s="33">
        <f>'T1'!G126</f>
        <v>4360</v>
      </c>
      <c r="D96" s="33">
        <f>MAX(0,'T1'!D126-'T1'!H126)</f>
        <v>0</v>
      </c>
      <c r="E96" s="279" t="s">
        <v>361</v>
      </c>
      <c r="F96" s="33">
        <f t="shared" si="20"/>
        <v>4750</v>
      </c>
      <c r="G96" s="33">
        <f>'T1'!I126</f>
        <v>10</v>
      </c>
      <c r="H96" s="274">
        <f t="shared" si="21"/>
        <v>4740</v>
      </c>
      <c r="I96" s="33"/>
    </row>
    <row r="97" spans="1:9" ht="13.5" thickBot="1">
      <c r="A97" s="40">
        <f>A96+1</f>
        <v>2008</v>
      </c>
      <c r="B97" s="364">
        <f>'T1'!E148</f>
        <v>260</v>
      </c>
      <c r="C97" s="365">
        <f>'T1'!G148</f>
        <v>2950</v>
      </c>
      <c r="D97" s="365">
        <f>MAX(0,'T1'!D148-'T1'!H148)</f>
        <v>0</v>
      </c>
      <c r="E97" s="366" t="s">
        <v>361</v>
      </c>
      <c r="F97" s="365">
        <f t="shared" si="20"/>
        <v>3210</v>
      </c>
      <c r="G97" s="365">
        <f>'T1'!I148</f>
        <v>10</v>
      </c>
      <c r="H97" s="367">
        <f t="shared" si="21"/>
        <v>3200</v>
      </c>
      <c r="I97" s="33"/>
    </row>
    <row r="98" spans="1:9" ht="13.5" thickTop="1">
      <c r="A98" s="363" t="s">
        <v>599</v>
      </c>
      <c r="B98" s="33">
        <f aca="true" t="shared" si="22" ref="B98:D99">AVERAGE(B92:B96)</f>
        <v>240</v>
      </c>
      <c r="C98" s="33">
        <f t="shared" si="22"/>
        <v>2674</v>
      </c>
      <c r="D98" s="33">
        <f t="shared" si="22"/>
        <v>0</v>
      </c>
      <c r="E98" s="279"/>
      <c r="F98" s="33">
        <f aca="true" t="shared" si="23" ref="F98:H99">AVERAGE(F92:F96)</f>
        <v>2914</v>
      </c>
      <c r="G98" s="33">
        <f t="shared" si="23"/>
        <v>8</v>
      </c>
      <c r="H98" s="274">
        <f t="shared" si="23"/>
        <v>2906</v>
      </c>
      <c r="I98" s="33"/>
    </row>
    <row r="99" spans="1:9" ht="12.75">
      <c r="A99" s="363" t="s">
        <v>598</v>
      </c>
      <c r="B99" s="33">
        <f t="shared" si="22"/>
        <v>258</v>
      </c>
      <c r="C99" s="33">
        <f t="shared" si="22"/>
        <v>2882</v>
      </c>
      <c r="D99" s="33">
        <f t="shared" si="22"/>
        <v>0</v>
      </c>
      <c r="E99" s="33"/>
      <c r="F99" s="33">
        <f t="shared" si="23"/>
        <v>3140</v>
      </c>
      <c r="G99" s="33">
        <f t="shared" si="23"/>
        <v>10</v>
      </c>
      <c r="H99" s="274">
        <f t="shared" si="23"/>
        <v>3130</v>
      </c>
      <c r="I99" s="33"/>
    </row>
    <row r="100" spans="1:9" ht="12.75">
      <c r="A100" s="40"/>
      <c r="H100" s="274"/>
      <c r="I100" s="33"/>
    </row>
    <row r="101" spans="1:9" ht="12.75">
      <c r="A101" s="280" t="s">
        <v>22</v>
      </c>
      <c r="H101" s="274"/>
      <c r="I101" s="33"/>
    </row>
    <row r="102" spans="1:9" ht="12.75">
      <c r="A102" s="280"/>
      <c r="H102" s="274"/>
      <c r="I102" s="33"/>
    </row>
    <row r="103" spans="1:9" ht="12.75">
      <c r="A103" s="40">
        <v>2003</v>
      </c>
      <c r="B103" s="33">
        <f>'T1'!E41</f>
        <v>500</v>
      </c>
      <c r="C103" s="33">
        <f>'T1'!G41</f>
        <v>10</v>
      </c>
      <c r="D103" s="33">
        <f>MAX(0,'T1'!D41-'T1'!H41)</f>
        <v>260</v>
      </c>
      <c r="E103" s="279" t="s">
        <v>361</v>
      </c>
      <c r="F103" s="33">
        <f aca="true" t="shared" si="24" ref="F103:F108">SUM(B103:D103)</f>
        <v>770</v>
      </c>
      <c r="G103" s="33">
        <f>'T1'!I41</f>
        <v>290</v>
      </c>
      <c r="H103" s="274">
        <f aca="true" t="shared" si="25" ref="H103:H108">F103-G103</f>
        <v>480</v>
      </c>
      <c r="I103" s="33"/>
    </row>
    <row r="104" spans="1:9" ht="12.75">
      <c r="A104" s="40">
        <f>A103+1</f>
        <v>2004</v>
      </c>
      <c r="B104" s="33">
        <f>'T1'!E63</f>
        <v>710</v>
      </c>
      <c r="C104" s="33">
        <f>'T1'!G63</f>
        <v>10</v>
      </c>
      <c r="D104" s="33">
        <f>MAX(0,'T1'!D63-'T1'!H63)</f>
        <v>360</v>
      </c>
      <c r="E104" s="279" t="s">
        <v>361</v>
      </c>
      <c r="F104" s="33">
        <f t="shared" si="24"/>
        <v>1080</v>
      </c>
      <c r="G104" s="33">
        <f>'T1'!I63</f>
        <v>360</v>
      </c>
      <c r="H104" s="274">
        <f t="shared" si="25"/>
        <v>720</v>
      </c>
      <c r="I104" s="33"/>
    </row>
    <row r="105" spans="1:9" ht="12.75">
      <c r="A105" s="40">
        <f>A104+1</f>
        <v>2005</v>
      </c>
      <c r="B105" s="33">
        <f>'T1'!E85</f>
        <v>1770</v>
      </c>
      <c r="C105" s="33">
        <f>'T1'!G85</f>
        <v>30</v>
      </c>
      <c r="D105" s="33">
        <f>MAX(0,'T1'!D85-'T1'!H85)</f>
        <v>910</v>
      </c>
      <c r="E105" s="279" t="s">
        <v>361</v>
      </c>
      <c r="F105" s="33">
        <f t="shared" si="24"/>
        <v>2710</v>
      </c>
      <c r="G105" s="33">
        <f>'T1'!I85</f>
        <v>1660</v>
      </c>
      <c r="H105" s="274">
        <f t="shared" si="25"/>
        <v>1050</v>
      </c>
      <c r="I105" s="33"/>
    </row>
    <row r="106" spans="1:9" ht="12.75">
      <c r="A106" s="40">
        <f>A105+1</f>
        <v>2006</v>
      </c>
      <c r="B106" s="33">
        <f>'T1'!E107</f>
        <v>2760</v>
      </c>
      <c r="C106" s="33">
        <f>'T1'!G107</f>
        <v>40</v>
      </c>
      <c r="D106" s="33">
        <f>MAX(0,'T1'!D107-'T1'!H107)</f>
        <v>1420</v>
      </c>
      <c r="E106" s="279" t="s">
        <v>361</v>
      </c>
      <c r="F106" s="33">
        <f t="shared" si="24"/>
        <v>4220</v>
      </c>
      <c r="G106" s="33">
        <f>'T1'!I107</f>
        <v>3270</v>
      </c>
      <c r="H106" s="274">
        <f t="shared" si="25"/>
        <v>950</v>
      </c>
      <c r="I106" s="33"/>
    </row>
    <row r="107" spans="1:9" ht="12.75">
      <c r="A107" s="40">
        <f>A106+1</f>
        <v>2007</v>
      </c>
      <c r="B107" s="33">
        <f>'T1'!E129</f>
        <v>4500</v>
      </c>
      <c r="C107" s="33">
        <f>'T1'!G129</f>
        <v>70</v>
      </c>
      <c r="D107" s="33">
        <f>MAX(0,'T1'!D129-'T1'!H129)</f>
        <v>2320</v>
      </c>
      <c r="E107" s="279" t="s">
        <v>361</v>
      </c>
      <c r="F107" s="33">
        <f t="shared" si="24"/>
        <v>6890</v>
      </c>
      <c r="G107" s="33">
        <f>'T1'!I129</f>
        <v>5450</v>
      </c>
      <c r="H107" s="274">
        <f t="shared" si="25"/>
        <v>1440</v>
      </c>
      <c r="I107" s="33"/>
    </row>
    <row r="108" spans="1:9" ht="13.5" thickBot="1">
      <c r="A108" s="40">
        <f>A107+1</f>
        <v>2008</v>
      </c>
      <c r="B108" s="364">
        <f>'T1'!E151</f>
        <v>5510</v>
      </c>
      <c r="C108" s="365">
        <f>'T1'!G151</f>
        <v>80</v>
      </c>
      <c r="D108" s="365">
        <f>MAX(0,'T1'!D151-'T1'!H151)</f>
        <v>2840</v>
      </c>
      <c r="E108" s="366" t="s">
        <v>361</v>
      </c>
      <c r="F108" s="365">
        <f t="shared" si="24"/>
        <v>8430</v>
      </c>
      <c r="G108" s="365">
        <f>'T1'!I151</f>
        <v>7030</v>
      </c>
      <c r="H108" s="367">
        <f t="shared" si="25"/>
        <v>1400</v>
      </c>
      <c r="I108" s="33"/>
    </row>
    <row r="109" spans="1:9" ht="13.5" thickTop="1">
      <c r="A109" s="363" t="s">
        <v>599</v>
      </c>
      <c r="B109" s="33">
        <f aca="true" t="shared" si="26" ref="B109:D110">AVERAGE(B103:B107)</f>
        <v>2048</v>
      </c>
      <c r="C109" s="33">
        <f t="shared" si="26"/>
        <v>32</v>
      </c>
      <c r="D109" s="33">
        <f t="shared" si="26"/>
        <v>1054</v>
      </c>
      <c r="E109" s="279"/>
      <c r="F109" s="33">
        <f aca="true" t="shared" si="27" ref="F109:H110">AVERAGE(F103:F107)</f>
        <v>3134</v>
      </c>
      <c r="G109" s="33">
        <f t="shared" si="27"/>
        <v>2206</v>
      </c>
      <c r="H109" s="274">
        <f t="shared" si="27"/>
        <v>928</v>
      </c>
      <c r="I109" s="33"/>
    </row>
    <row r="110" spans="1:9" ht="12.75">
      <c r="A110" s="363" t="s">
        <v>598</v>
      </c>
      <c r="B110" s="33">
        <f t="shared" si="26"/>
        <v>3050</v>
      </c>
      <c r="C110" s="33">
        <f t="shared" si="26"/>
        <v>46</v>
      </c>
      <c r="D110" s="33">
        <f t="shared" si="26"/>
        <v>1570</v>
      </c>
      <c r="E110" s="33"/>
      <c r="F110" s="33">
        <f t="shared" si="27"/>
        <v>4666</v>
      </c>
      <c r="G110" s="33">
        <f t="shared" si="27"/>
        <v>3554</v>
      </c>
      <c r="H110" s="274">
        <f t="shared" si="27"/>
        <v>1112</v>
      </c>
      <c r="I110" s="33"/>
    </row>
    <row r="111" spans="1:9" ht="12.75">
      <c r="A111" s="40"/>
      <c r="H111" s="274"/>
      <c r="I111" s="33"/>
    </row>
    <row r="112" spans="1:9" ht="12.75">
      <c r="A112" s="280" t="s">
        <v>23</v>
      </c>
      <c r="H112" s="274"/>
      <c r="I112" s="33"/>
    </row>
    <row r="113" spans="1:9" ht="12.75">
      <c r="A113" s="40"/>
      <c r="H113" s="274"/>
      <c r="I113" s="33"/>
    </row>
    <row r="114" spans="1:9" ht="12.75">
      <c r="A114" s="40">
        <v>2003</v>
      </c>
      <c r="B114" s="33">
        <f>'T1'!E42</f>
        <v>80</v>
      </c>
      <c r="C114" s="33">
        <f>'T1'!G42</f>
        <v>30</v>
      </c>
      <c r="D114" s="33">
        <f>MAX(0,'T1'!D42-'T1'!H42)</f>
        <v>0</v>
      </c>
      <c r="E114" s="279" t="s">
        <v>361</v>
      </c>
      <c r="F114" s="33">
        <f aca="true" t="shared" si="28" ref="F114:F119">SUM(B114:D114)</f>
        <v>110</v>
      </c>
      <c r="G114" s="33">
        <f>'T1'!I42</f>
        <v>-260</v>
      </c>
      <c r="H114" s="274">
        <f aca="true" t="shared" si="29" ref="H114:H119">F114-G114</f>
        <v>370</v>
      </c>
      <c r="I114" s="33"/>
    </row>
    <row r="115" spans="1:9" ht="12.75">
      <c r="A115" s="40">
        <f>A114+1</f>
        <v>2004</v>
      </c>
      <c r="B115" s="33">
        <f>'T1'!E64</f>
        <v>240</v>
      </c>
      <c r="C115" s="33">
        <f>'T1'!G64</f>
        <v>110</v>
      </c>
      <c r="D115" s="33">
        <f>MAX(0,'T1'!D64-'T1'!H64)</f>
        <v>0</v>
      </c>
      <c r="E115" s="279" t="s">
        <v>361</v>
      </c>
      <c r="F115" s="33">
        <f t="shared" si="28"/>
        <v>350</v>
      </c>
      <c r="G115" s="33">
        <f>'T1'!I64</f>
        <v>90</v>
      </c>
      <c r="H115" s="274">
        <f t="shared" si="29"/>
        <v>260</v>
      </c>
      <c r="I115" s="33"/>
    </row>
    <row r="116" spans="1:9" ht="12.75">
      <c r="A116" s="40">
        <f>A115+1</f>
        <v>2005</v>
      </c>
      <c r="B116" s="33">
        <f>'T1'!E86</f>
        <v>-130</v>
      </c>
      <c r="C116" s="33">
        <f>'T1'!G86</f>
        <v>-50</v>
      </c>
      <c r="D116" s="33">
        <f>MAX(0,'T1'!D86-'T1'!H86)</f>
        <v>0</v>
      </c>
      <c r="E116" s="279" t="s">
        <v>361</v>
      </c>
      <c r="F116" s="33">
        <f t="shared" si="28"/>
        <v>-180</v>
      </c>
      <c r="G116" s="33">
        <f>'T1'!I86</f>
        <v>-1180</v>
      </c>
      <c r="H116" s="274">
        <f t="shared" si="29"/>
        <v>1000</v>
      </c>
      <c r="I116" s="33"/>
    </row>
    <row r="117" spans="1:9" ht="12.75">
      <c r="A117" s="40">
        <f>A116+1</f>
        <v>2006</v>
      </c>
      <c r="B117" s="33">
        <f>'T1'!E108</f>
        <v>-270</v>
      </c>
      <c r="C117" s="33">
        <f>'T1'!G108</f>
        <v>-120</v>
      </c>
      <c r="D117" s="33">
        <f>MAX(0,'T1'!D108-'T1'!H108)</f>
        <v>0</v>
      </c>
      <c r="E117" s="279" t="s">
        <v>361</v>
      </c>
      <c r="F117" s="33">
        <f t="shared" si="28"/>
        <v>-390</v>
      </c>
      <c r="G117" s="33">
        <f>'T1'!I108</f>
        <v>-1430</v>
      </c>
      <c r="H117" s="274">
        <f t="shared" si="29"/>
        <v>1040</v>
      </c>
      <c r="I117" s="33"/>
    </row>
    <row r="118" spans="1:9" ht="12.75">
      <c r="A118" s="40">
        <f>A117+1</f>
        <v>2007</v>
      </c>
      <c r="B118" s="33">
        <f>'T1'!E130</f>
        <v>2220</v>
      </c>
      <c r="C118" s="33">
        <f>'T1'!G130</f>
        <v>970</v>
      </c>
      <c r="D118" s="33">
        <f>MAX(0,'T1'!D130-'T1'!H130)</f>
        <v>0</v>
      </c>
      <c r="E118" s="279" t="s">
        <v>361</v>
      </c>
      <c r="F118" s="33">
        <f t="shared" si="28"/>
        <v>3190</v>
      </c>
      <c r="G118" s="33">
        <f>'T1'!I130</f>
        <v>340</v>
      </c>
      <c r="H118" s="274">
        <f t="shared" si="29"/>
        <v>2850</v>
      </c>
      <c r="I118" s="33"/>
    </row>
    <row r="119" spans="1:9" ht="13.5" thickBot="1">
      <c r="A119" s="40">
        <f>A118+1</f>
        <v>2008</v>
      </c>
      <c r="B119" s="364">
        <f>'T1'!E152</f>
        <v>4930</v>
      </c>
      <c r="C119" s="365">
        <f>'T1'!G152</f>
        <v>2130</v>
      </c>
      <c r="D119" s="365">
        <f>MAX(0,'T1'!D152-'T1'!H152)</f>
        <v>0</v>
      </c>
      <c r="E119" s="366" t="s">
        <v>361</v>
      </c>
      <c r="F119" s="365">
        <f t="shared" si="28"/>
        <v>7060</v>
      </c>
      <c r="G119" s="365">
        <f>'T1'!I152</f>
        <v>2440</v>
      </c>
      <c r="H119" s="367">
        <f t="shared" si="29"/>
        <v>4620</v>
      </c>
      <c r="I119" s="33"/>
    </row>
    <row r="120" spans="1:9" ht="13.5" thickTop="1">
      <c r="A120" s="363" t="s">
        <v>599</v>
      </c>
      <c r="B120" s="33">
        <f aca="true" t="shared" si="30" ref="B120:D121">AVERAGE(B114:B118)</f>
        <v>428</v>
      </c>
      <c r="C120" s="33">
        <f t="shared" si="30"/>
        <v>188</v>
      </c>
      <c r="D120" s="33">
        <f t="shared" si="30"/>
        <v>0</v>
      </c>
      <c r="E120" s="279"/>
      <c r="F120" s="33">
        <f aca="true" t="shared" si="31" ref="F120:H121">AVERAGE(F114:F118)</f>
        <v>616</v>
      </c>
      <c r="G120" s="33">
        <f t="shared" si="31"/>
        <v>-488</v>
      </c>
      <c r="H120" s="274">
        <f t="shared" si="31"/>
        <v>1104</v>
      </c>
      <c r="I120" s="33"/>
    </row>
    <row r="121" spans="1:9" ht="12.75">
      <c r="A121" s="363" t="s">
        <v>598</v>
      </c>
      <c r="B121" s="33">
        <f t="shared" si="30"/>
        <v>1398</v>
      </c>
      <c r="C121" s="33">
        <f t="shared" si="30"/>
        <v>608</v>
      </c>
      <c r="D121" s="33">
        <f t="shared" si="30"/>
        <v>0</v>
      </c>
      <c r="E121" s="33"/>
      <c r="F121" s="33">
        <f t="shared" si="31"/>
        <v>2006</v>
      </c>
      <c r="G121" s="33">
        <f t="shared" si="31"/>
        <v>52</v>
      </c>
      <c r="H121" s="274">
        <f t="shared" si="31"/>
        <v>1954</v>
      </c>
      <c r="I121" s="33"/>
    </row>
    <row r="122" spans="8:9" ht="12.75">
      <c r="H122" s="274"/>
      <c r="I122" s="33"/>
    </row>
    <row r="123" spans="1:9" ht="12.75">
      <c r="A123" s="280" t="s">
        <v>24</v>
      </c>
      <c r="H123" s="274"/>
      <c r="I123" s="33"/>
    </row>
    <row r="124" spans="8:9" ht="12.75">
      <c r="H124" s="274"/>
      <c r="I124" s="33"/>
    </row>
    <row r="125" spans="1:8" ht="12.75">
      <c r="A125" s="40">
        <v>2003</v>
      </c>
      <c r="B125" s="33">
        <f>'T1'!E43</f>
        <v>3510</v>
      </c>
      <c r="C125" s="33">
        <f>'T1'!G43</f>
        <v>3600</v>
      </c>
      <c r="D125" s="33">
        <f>MAX(0,'T1'!D43-'T1'!H43)</f>
        <v>0</v>
      </c>
      <c r="E125" s="279" t="s">
        <v>361</v>
      </c>
      <c r="F125" s="33">
        <f aca="true" t="shared" si="32" ref="F125:F130">SUM(B125:D125)</f>
        <v>7110</v>
      </c>
      <c r="G125" s="33">
        <f>'T1'!I43</f>
        <v>6600</v>
      </c>
      <c r="H125" s="274">
        <f aca="true" t="shared" si="33" ref="H125:H130">F125-G125</f>
        <v>510</v>
      </c>
    </row>
    <row r="126" spans="1:8" ht="12.75">
      <c r="A126" s="40">
        <f>A125+1</f>
        <v>2004</v>
      </c>
      <c r="B126" s="33">
        <f>'T1'!E65</f>
        <v>2170</v>
      </c>
      <c r="C126" s="33">
        <f>'T1'!G65</f>
        <v>2220</v>
      </c>
      <c r="D126" s="33">
        <f>MAX(0,'T1'!D65-'T1'!H65)</f>
        <v>0</v>
      </c>
      <c r="E126" s="279" t="s">
        <v>361</v>
      </c>
      <c r="F126" s="33">
        <f t="shared" si="32"/>
        <v>4390</v>
      </c>
      <c r="G126" s="33">
        <f>'T1'!I65</f>
        <v>4600</v>
      </c>
      <c r="H126" s="274">
        <f t="shared" si="33"/>
        <v>-210</v>
      </c>
    </row>
    <row r="127" spans="1:8" ht="12.75">
      <c r="A127" s="40">
        <f>A126+1</f>
        <v>2005</v>
      </c>
      <c r="B127" s="33">
        <f>'T1'!E87</f>
        <v>5310</v>
      </c>
      <c r="C127" s="33">
        <f>'T1'!G87</f>
        <v>5430</v>
      </c>
      <c r="D127" s="33">
        <f>MAX(0,'T1'!D87-'T1'!H87)</f>
        <v>0</v>
      </c>
      <c r="E127" s="279" t="s">
        <v>361</v>
      </c>
      <c r="F127" s="33">
        <f t="shared" si="32"/>
        <v>10740</v>
      </c>
      <c r="G127" s="33">
        <f>'T1'!I87</f>
        <v>8180</v>
      </c>
      <c r="H127" s="274">
        <f t="shared" si="33"/>
        <v>2560</v>
      </c>
    </row>
    <row r="128" spans="1:8" ht="12.75">
      <c r="A128" s="40">
        <f>A127+1</f>
        <v>2006</v>
      </c>
      <c r="B128" s="33">
        <f>'T1'!E109</f>
        <v>3690</v>
      </c>
      <c r="C128" s="33">
        <f>'T1'!G109</f>
        <v>3780</v>
      </c>
      <c r="D128" s="33">
        <f>MAX(0,'T1'!D109-'T1'!H109)</f>
        <v>0</v>
      </c>
      <c r="E128" s="279" t="s">
        <v>361</v>
      </c>
      <c r="F128" s="33">
        <f t="shared" si="32"/>
        <v>7470</v>
      </c>
      <c r="G128" s="33">
        <f>'T1'!I109</f>
        <v>7920</v>
      </c>
      <c r="H128" s="274">
        <f t="shared" si="33"/>
        <v>-450</v>
      </c>
    </row>
    <row r="129" spans="1:8" ht="12.75">
      <c r="A129" s="40">
        <f>A128+1</f>
        <v>2007</v>
      </c>
      <c r="B129" s="33">
        <f>'T1'!E131</f>
        <v>6610</v>
      </c>
      <c r="C129" s="33">
        <f>'T1'!G131</f>
        <v>6760</v>
      </c>
      <c r="D129" s="33">
        <f>MAX(0,'T1'!D131-'T1'!H131)</f>
        <v>0</v>
      </c>
      <c r="E129" s="279" t="s">
        <v>361</v>
      </c>
      <c r="F129" s="33">
        <f t="shared" si="32"/>
        <v>13370</v>
      </c>
      <c r="G129" s="33">
        <f>'T1'!I131</f>
        <v>9010</v>
      </c>
      <c r="H129" s="274">
        <f t="shared" si="33"/>
        <v>4360</v>
      </c>
    </row>
    <row r="130" spans="1:8" ht="13.5" thickBot="1">
      <c r="A130" s="40">
        <f>A129+1</f>
        <v>2008</v>
      </c>
      <c r="B130" s="364">
        <f>'T1'!E153</f>
        <v>9010</v>
      </c>
      <c r="C130" s="365">
        <f>'T1'!G153</f>
        <v>9200</v>
      </c>
      <c r="D130" s="365">
        <f>MAX(0,'T1'!D153-'T1'!H153)</f>
        <v>0</v>
      </c>
      <c r="E130" s="366" t="s">
        <v>361</v>
      </c>
      <c r="F130" s="365">
        <f t="shared" si="32"/>
        <v>18210</v>
      </c>
      <c r="G130" s="365">
        <f>'T1'!I153</f>
        <v>12180</v>
      </c>
      <c r="H130" s="367">
        <f t="shared" si="33"/>
        <v>6030</v>
      </c>
    </row>
    <row r="131" spans="1:8" ht="13.5" thickTop="1">
      <c r="A131" s="363" t="s">
        <v>599</v>
      </c>
      <c r="B131" s="33">
        <f aca="true" t="shared" si="34" ref="B131:D132">AVERAGE(B125:B129)</f>
        <v>4258</v>
      </c>
      <c r="C131" s="33">
        <f t="shared" si="34"/>
        <v>4358</v>
      </c>
      <c r="D131" s="33">
        <f t="shared" si="34"/>
        <v>0</v>
      </c>
      <c r="E131" s="279"/>
      <c r="F131" s="33">
        <f aca="true" t="shared" si="35" ref="F131:H132">AVERAGE(F125:F129)</f>
        <v>8616</v>
      </c>
      <c r="G131" s="33">
        <f t="shared" si="35"/>
        <v>7262</v>
      </c>
      <c r="H131" s="274">
        <f t="shared" si="35"/>
        <v>1354</v>
      </c>
    </row>
    <row r="132" spans="1:8" ht="12.75">
      <c r="A132" s="363" t="s">
        <v>598</v>
      </c>
      <c r="B132" s="33">
        <f t="shared" si="34"/>
        <v>5358</v>
      </c>
      <c r="C132" s="33">
        <f t="shared" si="34"/>
        <v>5478</v>
      </c>
      <c r="D132" s="33">
        <f t="shared" si="34"/>
        <v>0</v>
      </c>
      <c r="E132" s="33"/>
      <c r="F132" s="33">
        <f t="shared" si="35"/>
        <v>10836</v>
      </c>
      <c r="G132" s="33">
        <f t="shared" si="35"/>
        <v>8378</v>
      </c>
      <c r="H132" s="274">
        <f t="shared" si="35"/>
        <v>2458</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 without non-Federal reservoir evaporation below Harlan County and the Kansas Proposal of the Harlan County Net Evaporation Split&amp;RPage &amp;P of &amp;N</oddHeader>
  </headerFooter>
</worksheet>
</file>

<file path=xl/worksheets/sheet21.xml><?xml version="1.0" encoding="utf-8"?>
<worksheet xmlns="http://schemas.openxmlformats.org/spreadsheetml/2006/main" xmlns:r="http://schemas.openxmlformats.org/officeDocument/2006/relationships">
  <sheetPr codeName="Sheet25">
    <pageSetUpPr fitToPage="1"/>
  </sheetPr>
  <dimension ref="A1:E10"/>
  <sheetViews>
    <sheetView zoomScalePageLayoutView="0" workbookViewId="0" topLeftCell="A1">
      <selection activeCell="B9" sqref="B9"/>
    </sheetView>
  </sheetViews>
  <sheetFormatPr defaultColWidth="9.140625" defaultRowHeight="12.75"/>
  <cols>
    <col min="1" max="1" width="11.8515625" style="0" customWidth="1"/>
    <col min="2" max="2" width="13.8515625" style="0" customWidth="1"/>
    <col min="3" max="3" width="20.7109375" style="0" customWidth="1"/>
    <col min="4" max="4" width="16.421875" style="0" customWidth="1"/>
    <col min="5" max="5" width="13.8515625" style="0" customWidth="1"/>
  </cols>
  <sheetData>
    <row r="1" spans="1:5" ht="12.75">
      <c r="A1" s="443" t="s">
        <v>49</v>
      </c>
      <c r="B1" s="443"/>
      <c r="C1" s="443"/>
      <c r="D1" s="443"/>
      <c r="E1" s="443"/>
    </row>
    <row r="2" spans="1:5" ht="39.75" customHeight="1">
      <c r="A2" s="39" t="s">
        <v>34</v>
      </c>
      <c r="B2" s="39" t="s">
        <v>46</v>
      </c>
      <c r="C2" s="39" t="s">
        <v>47</v>
      </c>
      <c r="D2" s="39" t="s">
        <v>48</v>
      </c>
      <c r="E2" s="196" t="s">
        <v>471</v>
      </c>
    </row>
    <row r="3" spans="1:5" ht="19.5" customHeight="1">
      <c r="A3" s="40">
        <f>'T1'!B27</f>
        <v>2003</v>
      </c>
      <c r="B3" s="44">
        <f>'T1'!D47-'T1'!D41</f>
        <v>21160</v>
      </c>
      <c r="C3" s="44">
        <f>'T1'!H45-'T1'!H41</f>
        <v>33470</v>
      </c>
      <c r="D3" s="193" t="s">
        <v>361</v>
      </c>
      <c r="E3" s="284">
        <f aca="true" t="shared" si="0" ref="E3:E8">+B3-C3</f>
        <v>-12310</v>
      </c>
    </row>
    <row r="4" spans="1:5" ht="19.5" customHeight="1">
      <c r="A4" s="40">
        <f>A3+1</f>
        <v>2004</v>
      </c>
      <c r="B4" s="44">
        <f>'T1'!D69-'T1'!D63</f>
        <v>21180</v>
      </c>
      <c r="C4" s="44">
        <f>'T1'!H69-'T1'!H63</f>
        <v>33670</v>
      </c>
      <c r="D4" s="193" t="s">
        <v>361</v>
      </c>
      <c r="E4" s="284">
        <f t="shared" si="0"/>
        <v>-12490</v>
      </c>
    </row>
    <row r="5" spans="1:5" ht="19.5" customHeight="1">
      <c r="A5" s="40">
        <f>A4+1</f>
        <v>2005</v>
      </c>
      <c r="B5" s="44">
        <f>'T1'!D91-'T1'!D85</f>
        <v>24130</v>
      </c>
      <c r="C5" s="44">
        <f>'T1'!H91-'T1'!H85</f>
        <v>35460</v>
      </c>
      <c r="D5" s="193" t="s">
        <v>361</v>
      </c>
      <c r="E5" s="284">
        <f t="shared" si="0"/>
        <v>-11330</v>
      </c>
    </row>
    <row r="6" spans="1:5" ht="19.5" customHeight="1">
      <c r="A6" s="40">
        <f>A5+1</f>
        <v>2006</v>
      </c>
      <c r="B6" s="44">
        <f>'T1'!D113-'T1'!D107</f>
        <v>19670.33</v>
      </c>
      <c r="C6" s="44">
        <f>'T1'!H113-'T1'!H107</f>
        <v>30760</v>
      </c>
      <c r="D6" s="193" t="s">
        <v>361</v>
      </c>
      <c r="E6" s="284">
        <f t="shared" si="0"/>
        <v>-11089.669999999998</v>
      </c>
    </row>
    <row r="7" spans="1:5" ht="19.5" customHeight="1">
      <c r="A7" s="40">
        <f>A6+1</f>
        <v>2007</v>
      </c>
      <c r="B7" s="44">
        <f>'T1'!D135-'T1'!D129</f>
        <v>22200.33</v>
      </c>
      <c r="C7" s="44">
        <f>'T1'!H135-'T1'!H129</f>
        <v>32850</v>
      </c>
      <c r="D7" s="193" t="s">
        <v>361</v>
      </c>
      <c r="E7" s="284">
        <f t="shared" si="0"/>
        <v>-10649.669999999998</v>
      </c>
    </row>
    <row r="8" spans="1:5" ht="19.5" customHeight="1" thickBot="1">
      <c r="A8" s="40">
        <f>A7+1</f>
        <v>2008</v>
      </c>
      <c r="B8" s="42">
        <f>'T1'!D17-'T1'!D13</f>
        <v>22660.33</v>
      </c>
      <c r="C8" s="42">
        <f>'T1'!H17-'T1'!H13</f>
        <v>30560</v>
      </c>
      <c r="D8" s="194" t="s">
        <v>361</v>
      </c>
      <c r="E8" s="285">
        <f t="shared" si="0"/>
        <v>-7899.669999999998</v>
      </c>
    </row>
    <row r="9" spans="1:5" ht="19.5" customHeight="1" thickTop="1">
      <c r="A9" s="368" t="s">
        <v>602</v>
      </c>
      <c r="B9" s="286">
        <f>ROUND(+AVERAGE(B6:B7),-1)</f>
        <v>20940</v>
      </c>
      <c r="C9" s="286">
        <f>ROUND(+AVERAGE(C6:C7),-1)</f>
        <v>31810</v>
      </c>
      <c r="D9" s="193" t="s">
        <v>361</v>
      </c>
      <c r="E9" s="286">
        <f>ROUND(+AVERAGE(E6:E7),-1)</f>
        <v>-10870</v>
      </c>
    </row>
    <row r="10" spans="1:5" ht="19.5" customHeight="1">
      <c r="A10" s="363" t="s">
        <v>603</v>
      </c>
      <c r="B10" s="286">
        <f>ROUND(+AVERAGE(B7:B8),-1)</f>
        <v>22430</v>
      </c>
      <c r="C10" s="286">
        <f>ROUND(+AVERAGE(C7:C8),-1)</f>
        <v>31710</v>
      </c>
      <c r="D10" s="195" t="s">
        <v>361</v>
      </c>
      <c r="E10" s="286">
        <f>ROUND(+AVERAGE(E7:E8),-1)</f>
        <v>-9270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 without Non-Federal resevoir evaporation below Harlan County and the Kansas Proposal on the Harlan County Net Evaporation Split&amp;RPage &amp;P of &amp;N</oddHeader>
  </headerFooter>
</worksheet>
</file>

<file path=xl/worksheets/sheet22.xml><?xml version="1.0" encoding="utf-8"?>
<worksheet xmlns="http://schemas.openxmlformats.org/spreadsheetml/2006/main" xmlns:r="http://schemas.openxmlformats.org/officeDocument/2006/relationships">
  <sheetPr codeName="Sheet26">
    <pageSetUpPr fitToPage="1"/>
  </sheetPr>
  <dimension ref="A1:H17"/>
  <sheetViews>
    <sheetView zoomScalePageLayoutView="0" workbookViewId="0" topLeftCell="A1">
      <selection activeCell="B17" sqref="B17"/>
    </sheetView>
  </sheetViews>
  <sheetFormatPr defaultColWidth="9.140625" defaultRowHeight="12.75"/>
  <cols>
    <col min="1" max="1" width="16.421875" style="0" bestFit="1" customWidth="1"/>
    <col min="2" max="4" width="15.7109375" style="0" customWidth="1"/>
    <col min="5" max="7" width="20.7109375" style="0" customWidth="1"/>
  </cols>
  <sheetData>
    <row r="1" spans="1:7" ht="12.75">
      <c r="A1" s="443" t="s">
        <v>50</v>
      </c>
      <c r="B1" s="443"/>
      <c r="C1" s="443"/>
      <c r="D1" s="443"/>
      <c r="E1" s="443"/>
      <c r="F1" s="443"/>
      <c r="G1" s="443"/>
    </row>
    <row r="2" spans="1:8" ht="12.75" customHeight="1">
      <c r="A2" s="38"/>
      <c r="B2" s="447" t="s">
        <v>35</v>
      </c>
      <c r="C2" s="448"/>
      <c r="D2" s="448"/>
      <c r="E2" s="449"/>
      <c r="F2" s="450" t="s">
        <v>3</v>
      </c>
      <c r="G2" s="450" t="s">
        <v>36</v>
      </c>
      <c r="H2" s="452" t="s">
        <v>470</v>
      </c>
    </row>
    <row r="3" spans="1:8" ht="39.75" customHeight="1">
      <c r="A3" s="39" t="s">
        <v>34</v>
      </c>
      <c r="B3" s="39" t="s">
        <v>51</v>
      </c>
      <c r="C3" s="39" t="s">
        <v>53</v>
      </c>
      <c r="D3" s="39" t="s">
        <v>533</v>
      </c>
      <c r="E3" s="39" t="s">
        <v>4</v>
      </c>
      <c r="F3" s="451"/>
      <c r="G3" s="451"/>
      <c r="H3" s="453"/>
    </row>
    <row r="4" spans="1:8" ht="19.5" customHeight="1">
      <c r="A4" s="40">
        <f>'T1'!A96</f>
        <v>2006</v>
      </c>
      <c r="B4" s="44">
        <f>SUM('T1'!E98:E109)</f>
        <v>14750</v>
      </c>
      <c r="C4" s="44">
        <f>0.511*('T1'!G99+'T1'!G102+'T1'!G104+'T1'!G107+'T1'!G108+'T1'!G109)</f>
        <v>4588.78</v>
      </c>
      <c r="D4" s="44">
        <f>('T4 A,B'!D73+'T4 A,B'!D84+'T4 A,B'!D106)*0.511</f>
        <v>868.7</v>
      </c>
      <c r="E4" s="44">
        <f>+B4+C4+D4</f>
        <v>20207.48</v>
      </c>
      <c r="F4" s="44">
        <f>SUM('T1'!I98:I109)</f>
        <v>14630</v>
      </c>
      <c r="G4" s="193" t="s">
        <v>361</v>
      </c>
      <c r="H4" s="284">
        <f>+E4-(F4)</f>
        <v>5577.48</v>
      </c>
    </row>
    <row r="5" spans="1:8" ht="19.5" customHeight="1">
      <c r="A5" s="40">
        <f>'T1'!A118</f>
        <v>2007</v>
      </c>
      <c r="B5" s="44">
        <f>SUM('T1'!E120:E131)</f>
        <v>23060</v>
      </c>
      <c r="C5" s="44">
        <f>0.511*('T1'!G121+'T1'!G124+'T1'!G126+'T1'!G129+'T1'!G130+'T1'!G131)</f>
        <v>7848.96</v>
      </c>
      <c r="D5" s="44">
        <f>('T4 A,B'!D74+'T4 A,B'!D85+'T4 A,B'!D107)*0.511</f>
        <v>1686.3</v>
      </c>
      <c r="E5" s="44">
        <f>+B5+C5+D5</f>
        <v>32595.26</v>
      </c>
      <c r="F5" s="44">
        <f>SUM('T1'!I120:I131)</f>
        <v>20610</v>
      </c>
      <c r="G5" s="193" t="s">
        <v>361</v>
      </c>
      <c r="H5" s="284">
        <f>+E5-(F5)</f>
        <v>11985.259999999998</v>
      </c>
    </row>
    <row r="6" spans="1:8" ht="19.5" customHeight="1" thickBot="1">
      <c r="A6" s="41">
        <f>'T1'!A140</f>
        <v>2008</v>
      </c>
      <c r="B6" s="42">
        <f>SUM('T1'!E142:E153)</f>
        <v>29210</v>
      </c>
      <c r="C6" s="42">
        <f>0.511*('T1'!G143+'T1'!G146+'T1'!G148+'T1'!G151+'T1'!G152+'T1'!G153)</f>
        <v>8993.6</v>
      </c>
      <c r="D6" s="42">
        <f>('T4 A,B'!D75+'T4 A,B'!D86+'T4 A,B'!D108)*0.511</f>
        <v>2023.56</v>
      </c>
      <c r="E6" s="42">
        <f>+B6+C6+D6</f>
        <v>40227.159999999996</v>
      </c>
      <c r="F6" s="42">
        <f>SUM('T1'!I142:I153)</f>
        <v>27660</v>
      </c>
      <c r="G6" s="194" t="s">
        <v>361</v>
      </c>
      <c r="H6" s="285">
        <f>+E6-(F6)</f>
        <v>12567.159999999996</v>
      </c>
    </row>
    <row r="7" spans="1:8" ht="19.5" customHeight="1" thickTop="1">
      <c r="A7" s="368" t="s">
        <v>602</v>
      </c>
      <c r="B7" s="45">
        <f aca="true" t="shared" si="0" ref="B7:F8">ROUND(+AVERAGE(B4:B5),-1)</f>
        <v>18910</v>
      </c>
      <c r="C7" s="45">
        <f t="shared" si="0"/>
        <v>6220</v>
      </c>
      <c r="D7" s="45">
        <f t="shared" si="0"/>
        <v>1280</v>
      </c>
      <c r="E7" s="45">
        <f t="shared" si="0"/>
        <v>26400</v>
      </c>
      <c r="F7" s="45">
        <f t="shared" si="0"/>
        <v>17620</v>
      </c>
      <c r="G7" s="45" t="s">
        <v>361</v>
      </c>
      <c r="H7" s="286">
        <f>ROUND(+AVERAGE(H4:H5),-1)</f>
        <v>8780</v>
      </c>
    </row>
    <row r="8" spans="1:8" ht="19.5" customHeight="1">
      <c r="A8" s="363" t="s">
        <v>603</v>
      </c>
      <c r="B8" s="44">
        <f t="shared" si="0"/>
        <v>26140</v>
      </c>
      <c r="C8" s="44">
        <f t="shared" si="0"/>
        <v>8420</v>
      </c>
      <c r="D8" s="44">
        <f t="shared" si="0"/>
        <v>1850</v>
      </c>
      <c r="E8" s="44">
        <f t="shared" si="0"/>
        <v>36410</v>
      </c>
      <c r="F8" s="44">
        <f t="shared" si="0"/>
        <v>24140</v>
      </c>
      <c r="G8" s="44" t="s">
        <v>361</v>
      </c>
      <c r="H8" s="284">
        <f>ROUND(+AVERAGE(H5:H6),-1)</f>
        <v>12280</v>
      </c>
    </row>
    <row r="10" spans="1:7" ht="12.75">
      <c r="A10" s="443" t="s">
        <v>469</v>
      </c>
      <c r="B10" s="443"/>
      <c r="C10" s="443"/>
      <c r="D10" s="443"/>
      <c r="E10" s="443"/>
      <c r="F10" s="443"/>
      <c r="G10" s="443"/>
    </row>
    <row r="11" spans="1:7" ht="12.75" customHeight="1">
      <c r="A11" s="38"/>
      <c r="B11" s="444" t="s">
        <v>35</v>
      </c>
      <c r="C11" s="444"/>
      <c r="D11" s="444"/>
      <c r="E11" s="445" t="s">
        <v>3</v>
      </c>
      <c r="F11" s="445" t="s">
        <v>36</v>
      </c>
      <c r="G11" s="446" t="s">
        <v>470</v>
      </c>
    </row>
    <row r="12" spans="1:7" ht="39.75" customHeight="1">
      <c r="A12" s="39" t="s">
        <v>34</v>
      </c>
      <c r="B12" s="39" t="s">
        <v>51</v>
      </c>
      <c r="C12" s="39" t="s">
        <v>52</v>
      </c>
      <c r="D12" s="39" t="s">
        <v>4</v>
      </c>
      <c r="E12" s="445"/>
      <c r="F12" s="445"/>
      <c r="G12" s="446"/>
    </row>
    <row r="13" spans="1:7" ht="19.5" customHeight="1">
      <c r="A13" s="40">
        <f>'T1'!A96</f>
        <v>2006</v>
      </c>
      <c r="B13" s="44">
        <f>SUM('T1'!F98:F109)</f>
        <v>82030</v>
      </c>
      <c r="C13" s="44">
        <f>0.489*SUM('T1'!G98:G109)</f>
        <v>67022.17863</v>
      </c>
      <c r="D13" s="44">
        <f>+B13+C13</f>
        <v>149052.17862999998</v>
      </c>
      <c r="E13" s="44">
        <f>SUM('T1'!J98:J109)</f>
        <v>126760</v>
      </c>
      <c r="F13" s="44">
        <f>GM_output!W62-GM_output!W61</f>
        <v>9450</v>
      </c>
      <c r="G13" s="284">
        <f>+D13-(E13-F13)</f>
        <v>31742.17862999998</v>
      </c>
    </row>
    <row r="14" spans="1:7" ht="19.5" customHeight="1">
      <c r="A14" s="40">
        <f>'T1'!A118</f>
        <v>2007</v>
      </c>
      <c r="B14" s="44">
        <f>SUM('T1'!F120:F131)</f>
        <v>103900</v>
      </c>
      <c r="C14" s="44">
        <f>0.489*SUM('T1'!G120:G131)</f>
        <v>87359.68862999999</v>
      </c>
      <c r="D14" s="44">
        <f>+B14+C14</f>
        <v>191259.68863</v>
      </c>
      <c r="E14" s="44">
        <f>SUM('T1'!J120:J131)</f>
        <v>133930</v>
      </c>
      <c r="F14" s="44">
        <f>GM_output!AC62-GM_output!AC61</f>
        <v>10625</v>
      </c>
      <c r="G14" s="284">
        <f>+D14-(E14-F14)</f>
        <v>67954.68862999999</v>
      </c>
    </row>
    <row r="15" spans="1:7" ht="19.5" customHeight="1" thickBot="1">
      <c r="A15" s="41">
        <f>'T1'!A140</f>
        <v>2008</v>
      </c>
      <c r="B15" s="42">
        <f>SUM('T1'!F142:F153)</f>
        <v>103180</v>
      </c>
      <c r="C15" s="42">
        <f>0.489*SUM('T1'!G142:G153)</f>
        <v>95032.09863</v>
      </c>
      <c r="D15" s="42">
        <f>+B15+C15</f>
        <v>198212.09863</v>
      </c>
      <c r="E15" s="42">
        <f>SUM('T1'!J142:J153)</f>
        <v>133010</v>
      </c>
      <c r="F15" s="42">
        <f>GM_output!AI62-GM_output!AI61</f>
        <v>10452</v>
      </c>
      <c r="G15" s="285">
        <f>+D15-(E15-F15)</f>
        <v>75654.09863</v>
      </c>
    </row>
    <row r="16" spans="1:7" ht="13.5" thickTop="1">
      <c r="A16" s="368" t="s">
        <v>602</v>
      </c>
      <c r="B16" s="45">
        <f aca="true" t="shared" si="1" ref="B16:G16">ROUND(+AVERAGE(B13:B14),-1)</f>
        <v>92970</v>
      </c>
      <c r="C16" s="45">
        <f t="shared" si="1"/>
        <v>77190</v>
      </c>
      <c r="D16" s="45">
        <f t="shared" si="1"/>
        <v>170160</v>
      </c>
      <c r="E16" s="45">
        <f t="shared" si="1"/>
        <v>130350</v>
      </c>
      <c r="F16" s="45">
        <f t="shared" si="1"/>
        <v>10040</v>
      </c>
      <c r="G16" s="45">
        <f t="shared" si="1"/>
        <v>49850</v>
      </c>
    </row>
    <row r="17" spans="1:7" ht="13.5" customHeight="1">
      <c r="A17" s="363" t="s">
        <v>603</v>
      </c>
      <c r="B17" s="44">
        <f aca="true" t="shared" si="2" ref="B17:G17">ROUND(+AVERAGE(B14:B15),-1)</f>
        <v>103540</v>
      </c>
      <c r="C17" s="44">
        <f t="shared" si="2"/>
        <v>91200</v>
      </c>
      <c r="D17" s="44">
        <f t="shared" si="2"/>
        <v>194740</v>
      </c>
      <c r="E17" s="44">
        <f t="shared" si="2"/>
        <v>133470</v>
      </c>
      <c r="F17" s="44">
        <f t="shared" si="2"/>
        <v>10540</v>
      </c>
      <c r="G17" s="44">
        <f t="shared" si="2"/>
        <v>71800</v>
      </c>
    </row>
  </sheetData>
  <sheetProtection/>
  <mergeCells count="10">
    <mergeCell ref="H2:H3"/>
    <mergeCell ref="A10:G10"/>
    <mergeCell ref="B11:D11"/>
    <mergeCell ref="E11:E12"/>
    <mergeCell ref="F11:F12"/>
    <mergeCell ref="G11:G12"/>
    <mergeCell ref="A1:G1"/>
    <mergeCell ref="B2:E2"/>
    <mergeCell ref="F2:F3"/>
    <mergeCell ref="G2:G3"/>
  </mergeCells>
  <printOptions/>
  <pageMargins left="0.75" right="0.75" top="1" bottom="1" header="0.5" footer="0.5"/>
  <pageSetup fitToHeight="1" fitToWidth="1" horizontalDpi="600" verticalDpi="600" orientation="landscape" scale="96" r:id="rId1"/>
  <headerFooter alignWithMargins="0">
    <oddHeader>&amp;LRRCA 
Compact Accounting without the Non-Federal reservoir evaporation below Harlan County and the Kansas Proposal on the Harlan County Net evaporation Split&amp;RPage &amp;P of &amp;N</oddHeader>
  </headerFooter>
</worksheet>
</file>

<file path=xl/worksheets/sheet23.xml><?xml version="1.0" encoding="utf-8"?>
<worksheet xmlns="http://schemas.openxmlformats.org/spreadsheetml/2006/main" xmlns:r="http://schemas.openxmlformats.org/officeDocument/2006/relationships">
  <sheetPr codeName="Sheet27">
    <pageSetUpPr fitToPage="1"/>
  </sheetPr>
  <dimension ref="A1:X16"/>
  <sheetViews>
    <sheetView zoomScalePageLayoutView="0" workbookViewId="0" topLeftCell="A1">
      <selection activeCell="C8" sqref="C8"/>
    </sheetView>
  </sheetViews>
  <sheetFormatPr defaultColWidth="9.140625" defaultRowHeight="12.75"/>
  <cols>
    <col min="1" max="1" width="11.8515625" style="0" customWidth="1"/>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 min="10" max="10" width="19.140625" style="0" customWidth="1"/>
    <col min="14" max="14" width="11.28125" style="0" bestFit="1" customWidth="1"/>
  </cols>
  <sheetData>
    <row r="1" spans="1:9" ht="12.75">
      <c r="A1" s="443" t="s">
        <v>61</v>
      </c>
      <c r="B1" s="443"/>
      <c r="C1" s="443"/>
      <c r="D1" s="443"/>
      <c r="E1" s="443"/>
      <c r="F1" s="443"/>
      <c r="G1" s="443"/>
      <c r="H1" s="443"/>
      <c r="I1" s="443"/>
    </row>
    <row r="2" spans="1:23" ht="12.75" customHeight="1">
      <c r="A2" s="38"/>
      <c r="B2" s="444" t="s">
        <v>35</v>
      </c>
      <c r="C2" s="444"/>
      <c r="D2" s="444"/>
      <c r="E2" s="447" t="s">
        <v>3</v>
      </c>
      <c r="F2" s="448"/>
      <c r="G2" s="449"/>
      <c r="H2" s="445" t="s">
        <v>60</v>
      </c>
      <c r="I2" s="446" t="s">
        <v>472</v>
      </c>
      <c r="J2" s="446" t="s">
        <v>604</v>
      </c>
      <c r="N2" s="38"/>
      <c r="O2" s="444" t="s">
        <v>35</v>
      </c>
      <c r="P2" s="444"/>
      <c r="Q2" s="444"/>
      <c r="R2" s="447" t="s">
        <v>3</v>
      </c>
      <c r="S2" s="448"/>
      <c r="T2" s="449"/>
      <c r="U2" s="445" t="s">
        <v>60</v>
      </c>
      <c r="V2" s="446" t="s">
        <v>472</v>
      </c>
      <c r="W2" s="446" t="s">
        <v>604</v>
      </c>
    </row>
    <row r="3" spans="1:23" ht="39.75" customHeight="1">
      <c r="A3" s="39" t="s">
        <v>34</v>
      </c>
      <c r="B3" s="39" t="s">
        <v>54</v>
      </c>
      <c r="C3" s="39" t="s">
        <v>55</v>
      </c>
      <c r="D3" s="39" t="s">
        <v>56</v>
      </c>
      <c r="E3" s="39" t="s">
        <v>57</v>
      </c>
      <c r="F3" s="39" t="s">
        <v>58</v>
      </c>
      <c r="G3" s="39" t="s">
        <v>59</v>
      </c>
      <c r="H3" s="445"/>
      <c r="I3" s="446"/>
      <c r="J3" s="446"/>
      <c r="N3" s="39" t="s">
        <v>34</v>
      </c>
      <c r="O3" s="39" t="s">
        <v>54</v>
      </c>
      <c r="P3" s="39" t="s">
        <v>55</v>
      </c>
      <c r="Q3" s="39" t="s">
        <v>56</v>
      </c>
      <c r="R3" s="39" t="s">
        <v>57</v>
      </c>
      <c r="S3" s="39" t="s">
        <v>58</v>
      </c>
      <c r="T3" s="39" t="s">
        <v>59</v>
      </c>
      <c r="U3" s="445"/>
      <c r="V3" s="446"/>
      <c r="W3" s="446"/>
    </row>
    <row r="4" spans="1:22" ht="19.5" customHeight="1" thickBot="1">
      <c r="A4" s="40">
        <v>2006</v>
      </c>
      <c r="B4" s="42">
        <f>'T1'!F113</f>
        <v>187060</v>
      </c>
      <c r="C4" s="42">
        <f>Attachment6!Q36</f>
        <v>2289.5799290160007</v>
      </c>
      <c r="D4" s="42">
        <f>+B4-C4</f>
        <v>184770.420070984</v>
      </c>
      <c r="E4" s="42">
        <f>'T1'!J111</f>
        <v>236150</v>
      </c>
      <c r="F4" s="42">
        <f>Attachment6!I36</f>
        <v>3064.17</v>
      </c>
      <c r="G4" s="42">
        <f>+E4-F4</f>
        <v>233085.83</v>
      </c>
      <c r="H4" s="320">
        <f>GM_output!W62</f>
        <v>12218</v>
      </c>
      <c r="I4" s="285">
        <f>+D4-(G4-H4)</f>
        <v>-36097.409929015994</v>
      </c>
      <c r="N4" s="40">
        <v>2006</v>
      </c>
      <c r="O4" s="42">
        <v>187060</v>
      </c>
      <c r="P4" s="42">
        <v>2289.5799290160007</v>
      </c>
      <c r="Q4" s="42">
        <v>184770.420070984</v>
      </c>
      <c r="R4" s="42">
        <v>236150</v>
      </c>
      <c r="S4" s="42">
        <v>3064.17</v>
      </c>
      <c r="T4" s="42">
        <v>233085.83</v>
      </c>
      <c r="U4" s="320">
        <v>12218</v>
      </c>
      <c r="V4" s="285">
        <v>-36097.409929015994</v>
      </c>
    </row>
    <row r="5" spans="1:22" ht="19.5" customHeight="1" thickBot="1" thickTop="1">
      <c r="A5" s="41">
        <f>'T1'!A118</f>
        <v>2007</v>
      </c>
      <c r="B5" s="42">
        <f>'T1'!F135</f>
        <v>244380</v>
      </c>
      <c r="C5" s="42">
        <f>Attachment6!Q37</f>
        <v>16310.91774</v>
      </c>
      <c r="D5" s="42">
        <f>+B5-C5</f>
        <v>228069.08226</v>
      </c>
      <c r="E5" s="42">
        <f>'T1'!J133</f>
        <v>242830</v>
      </c>
      <c r="F5" s="42">
        <f>Attachment6!I37</f>
        <v>2769.5</v>
      </c>
      <c r="G5" s="42">
        <f>+E5-F5</f>
        <v>240060.5</v>
      </c>
      <c r="H5" s="42">
        <f>GM_output!AC62</f>
        <v>21939</v>
      </c>
      <c r="I5" s="285">
        <f>+D5-(G5-H5)</f>
        <v>9947.582259999996</v>
      </c>
      <c r="N5" s="41">
        <v>2007</v>
      </c>
      <c r="O5" s="42">
        <v>244380</v>
      </c>
      <c r="P5" s="42">
        <v>16310.91774</v>
      </c>
      <c r="Q5" s="42">
        <v>228069.08226</v>
      </c>
      <c r="R5" s="42">
        <v>242830</v>
      </c>
      <c r="S5" s="42">
        <v>2769.5</v>
      </c>
      <c r="T5" s="42">
        <v>240060.5</v>
      </c>
      <c r="U5" s="42">
        <v>21939</v>
      </c>
      <c r="V5" s="285">
        <v>9947.582259999996</v>
      </c>
    </row>
    <row r="6" spans="1:22" ht="19.5" customHeight="1" thickBot="1" thickTop="1">
      <c r="A6" s="41">
        <f>'T1'!A140</f>
        <v>2008</v>
      </c>
      <c r="B6" s="42">
        <f>'T1'!F157</f>
        <v>308520</v>
      </c>
      <c r="C6" s="42">
        <f>Attachment6!Q38</f>
        <v>13105.093886999999</v>
      </c>
      <c r="D6" s="42">
        <f>+B6-C6</f>
        <v>295414.906113</v>
      </c>
      <c r="E6" s="42">
        <f>'T1'!J155</f>
        <v>248870</v>
      </c>
      <c r="F6" s="42">
        <f>Attachment6!I38</f>
        <v>2145</v>
      </c>
      <c r="G6" s="42">
        <f>+E6-F6</f>
        <v>246725</v>
      </c>
      <c r="H6" s="320">
        <f>GM_output!AI62</f>
        <v>25830</v>
      </c>
      <c r="I6" s="285">
        <f>+D6-(G6-H6)</f>
        <v>74519.906113</v>
      </c>
      <c r="N6" s="41">
        <v>2008</v>
      </c>
      <c r="O6" s="42">
        <v>308590</v>
      </c>
      <c r="P6" s="42">
        <v>7739.785887</v>
      </c>
      <c r="Q6" s="42">
        <v>300850.214113</v>
      </c>
      <c r="R6" s="42">
        <v>249620</v>
      </c>
      <c r="S6" s="42">
        <v>2145</v>
      </c>
      <c r="T6" s="42">
        <v>247475</v>
      </c>
      <c r="U6" s="320">
        <v>25830</v>
      </c>
      <c r="V6" s="285">
        <v>79205.21411300002</v>
      </c>
    </row>
    <row r="7" spans="1:24" ht="19.5" customHeight="1" thickTop="1">
      <c r="A7" s="368" t="s">
        <v>602</v>
      </c>
      <c r="B7" s="45">
        <f aca="true" t="shared" si="0" ref="B7:I8">ROUND(+AVERAGE(B4:B5),-1)</f>
        <v>215720</v>
      </c>
      <c r="C7" s="45">
        <f t="shared" si="0"/>
        <v>9300</v>
      </c>
      <c r="D7" s="45">
        <f t="shared" si="0"/>
        <v>206420</v>
      </c>
      <c r="E7" s="45">
        <f t="shared" si="0"/>
        <v>239490</v>
      </c>
      <c r="F7" s="45">
        <f t="shared" si="0"/>
        <v>2920</v>
      </c>
      <c r="G7" s="45">
        <f t="shared" si="0"/>
        <v>236570</v>
      </c>
      <c r="H7" s="45">
        <f t="shared" si="0"/>
        <v>17080</v>
      </c>
      <c r="I7" s="286">
        <f t="shared" si="0"/>
        <v>-13070</v>
      </c>
      <c r="J7" s="321">
        <f>SUM(I4:I5)</f>
        <v>-26149.827669016</v>
      </c>
      <c r="K7" s="372" t="s">
        <v>605</v>
      </c>
      <c r="N7" s="368" t="s">
        <v>602</v>
      </c>
      <c r="O7" s="45">
        <v>215720</v>
      </c>
      <c r="P7" s="45">
        <v>9300</v>
      </c>
      <c r="Q7" s="45">
        <v>206420</v>
      </c>
      <c r="R7" s="45">
        <v>239490</v>
      </c>
      <c r="S7" s="45">
        <v>2920</v>
      </c>
      <c r="T7" s="45">
        <v>236570</v>
      </c>
      <c r="U7" s="45">
        <v>17080</v>
      </c>
      <c r="V7" s="286">
        <v>-13070</v>
      </c>
      <c r="W7" s="321">
        <v>-26149.827669016</v>
      </c>
      <c r="X7" s="372" t="s">
        <v>605</v>
      </c>
    </row>
    <row r="8" spans="1:24" ht="19.5" customHeight="1">
      <c r="A8" s="363" t="s">
        <v>603</v>
      </c>
      <c r="B8" s="45">
        <f t="shared" si="0"/>
        <v>276450</v>
      </c>
      <c r="C8" s="45">
        <f t="shared" si="0"/>
        <v>14710</v>
      </c>
      <c r="D8" s="45">
        <f t="shared" si="0"/>
        <v>261740</v>
      </c>
      <c r="E8" s="45">
        <f t="shared" si="0"/>
        <v>245850</v>
      </c>
      <c r="F8" s="45">
        <f t="shared" si="0"/>
        <v>2460</v>
      </c>
      <c r="G8" s="45">
        <f t="shared" si="0"/>
        <v>243390</v>
      </c>
      <c r="H8" s="45">
        <f t="shared" si="0"/>
        <v>23880</v>
      </c>
      <c r="I8" s="286">
        <f t="shared" si="0"/>
        <v>42230</v>
      </c>
      <c r="J8" s="321">
        <f>SUM(I5:I6)</f>
        <v>84467.488373</v>
      </c>
      <c r="K8" s="372" t="s">
        <v>606</v>
      </c>
      <c r="N8" s="363" t="s">
        <v>603</v>
      </c>
      <c r="O8" s="45">
        <v>276490</v>
      </c>
      <c r="P8" s="45">
        <v>12030</v>
      </c>
      <c r="Q8" s="45">
        <v>264460</v>
      </c>
      <c r="R8" s="45">
        <v>246230</v>
      </c>
      <c r="S8" s="45">
        <v>2460</v>
      </c>
      <c r="T8" s="45">
        <v>243770</v>
      </c>
      <c r="U8" s="45">
        <v>23880</v>
      </c>
      <c r="V8" s="286">
        <v>44580</v>
      </c>
      <c r="W8" s="321">
        <v>89152.79637300002</v>
      </c>
      <c r="X8" s="372" t="s">
        <v>606</v>
      </c>
    </row>
    <row r="9" spans="8:21" ht="12.75">
      <c r="H9" s="2" t="s">
        <v>4</v>
      </c>
      <c r="U9" s="2" t="s">
        <v>4</v>
      </c>
    </row>
    <row r="10" spans="1:9" ht="12.75">
      <c r="A10" s="443" t="s">
        <v>596</v>
      </c>
      <c r="B10" s="443"/>
      <c r="C10" s="443"/>
      <c r="D10" s="443"/>
      <c r="E10" s="443"/>
      <c r="F10" s="443"/>
      <c r="G10" s="443"/>
      <c r="H10" s="443"/>
      <c r="I10" s="443"/>
    </row>
    <row r="11" spans="1:9" ht="12.75" customHeight="1">
      <c r="A11" s="38"/>
      <c r="B11" s="444" t="s">
        <v>35</v>
      </c>
      <c r="C11" s="444"/>
      <c r="D11" s="444"/>
      <c r="E11" s="447" t="s">
        <v>3</v>
      </c>
      <c r="F11" s="448"/>
      <c r="G11" s="449"/>
      <c r="H11" s="445" t="s">
        <v>60</v>
      </c>
      <c r="I11" s="446" t="s">
        <v>472</v>
      </c>
    </row>
    <row r="12" spans="1:9" ht="40.5" customHeight="1">
      <c r="A12" s="39" t="s">
        <v>34</v>
      </c>
      <c r="B12" s="39" t="s">
        <v>54</v>
      </c>
      <c r="C12" s="39" t="s">
        <v>55</v>
      </c>
      <c r="D12" s="39" t="s">
        <v>56</v>
      </c>
      <c r="E12" s="39" t="s">
        <v>57</v>
      </c>
      <c r="F12" s="39" t="s">
        <v>58</v>
      </c>
      <c r="G12" s="39" t="s">
        <v>59</v>
      </c>
      <c r="H12" s="445"/>
      <c r="I12" s="446"/>
    </row>
    <row r="13" spans="1:9" ht="19.5" customHeight="1">
      <c r="A13" s="47" t="e">
        <f>+A14-1</f>
        <v>#REF!</v>
      </c>
      <c r="B13" s="44"/>
      <c r="C13" s="44"/>
      <c r="D13" s="44"/>
      <c r="E13" s="44"/>
      <c r="F13" s="44"/>
      <c r="G13" s="44"/>
      <c r="H13" s="44"/>
      <c r="I13" s="44"/>
    </row>
    <row r="14" spans="1:9" ht="19.5" customHeight="1">
      <c r="A14" s="47" t="e">
        <f>+A15-1</f>
        <v>#REF!</v>
      </c>
      <c r="B14" s="48"/>
      <c r="C14" s="48"/>
      <c r="D14" s="44"/>
      <c r="E14" s="48"/>
      <c r="F14" s="48"/>
      <c r="G14" s="44"/>
      <c r="H14" s="44"/>
      <c r="I14" s="44"/>
    </row>
    <row r="15" spans="1:9" ht="19.5" customHeight="1" thickBot="1">
      <c r="A15" s="41" t="e">
        <f>'T1'!#REF!</f>
        <v>#REF!</v>
      </c>
      <c r="B15" s="42"/>
      <c r="C15" s="42"/>
      <c r="D15" s="42"/>
      <c r="E15" s="42"/>
      <c r="F15" s="42"/>
      <c r="G15" s="42"/>
      <c r="H15" s="46"/>
      <c r="I15" s="42"/>
    </row>
    <row r="16" spans="1:9" ht="19.5" customHeight="1" thickTop="1">
      <c r="A16" s="43" t="s">
        <v>37</v>
      </c>
      <c r="B16" s="45"/>
      <c r="C16" s="45"/>
      <c r="D16" s="45"/>
      <c r="E16" s="45"/>
      <c r="F16" s="45"/>
      <c r="G16" s="45"/>
      <c r="H16" s="45"/>
      <c r="I16" s="45"/>
    </row>
  </sheetData>
  <sheetProtection/>
  <mergeCells count="16">
    <mergeCell ref="R2:T2"/>
    <mergeCell ref="U2:U3"/>
    <mergeCell ref="V2:V3"/>
    <mergeCell ref="W2:W3"/>
    <mergeCell ref="A1:I1"/>
    <mergeCell ref="B2:D2"/>
    <mergeCell ref="E2:G2"/>
    <mergeCell ref="H2:H3"/>
    <mergeCell ref="I2:I3"/>
    <mergeCell ref="O2:Q2"/>
    <mergeCell ref="J2:J3"/>
    <mergeCell ref="A10:I10"/>
    <mergeCell ref="B11:D11"/>
    <mergeCell ref="E11:G11"/>
    <mergeCell ref="H11:H12"/>
    <mergeCell ref="I11:I12"/>
  </mergeCells>
  <printOptions/>
  <pageMargins left="0.75" right="0.75" top="1" bottom="1" header="0.5" footer="0.5"/>
  <pageSetup fitToHeight="1" fitToWidth="1" horizontalDpi="600" verticalDpi="600" orientation="landscape" scale="95" r:id="rId1"/>
  <headerFooter alignWithMargins="0">
    <oddHeader>&amp;LAccounting for 2006 and 2007 Water Short Years. 2007 is estimated using Oct 2006 to Sep 2007 stream flow and 2006 pumping and irrigation&amp;RPage &amp;P of &amp;N</oddHeader>
    <oddFooter>&amp;LBased on no non-federal reservoir evaporation below Harlan County and estimated Kansas Proposed Harlan County Split.</oddFooter>
  </headerFooter>
</worksheet>
</file>

<file path=xl/worksheets/sheet24.xml><?xml version="1.0" encoding="utf-8"?>
<worksheet xmlns="http://schemas.openxmlformats.org/spreadsheetml/2006/main" xmlns:r="http://schemas.openxmlformats.org/officeDocument/2006/relationships">
  <sheetPr codeName="Sheet23">
    <pageSetUpPr fitToPage="1"/>
  </sheetPr>
  <dimension ref="A1:S38"/>
  <sheetViews>
    <sheetView zoomScalePageLayoutView="0" workbookViewId="0" topLeftCell="A1">
      <selection activeCell="Q4" sqref="Q4"/>
    </sheetView>
  </sheetViews>
  <sheetFormatPr defaultColWidth="9.140625" defaultRowHeight="12.75"/>
  <cols>
    <col min="4" max="4" width="9.421875" style="0" customWidth="1"/>
    <col min="8" max="8" width="10.28125" style="0" customWidth="1"/>
  </cols>
  <sheetData>
    <row r="1" ht="12.75">
      <c r="A1" t="s">
        <v>429</v>
      </c>
    </row>
    <row r="3" spans="1:18" s="50" customFormat="1" ht="76.5">
      <c r="A3" s="39" t="s">
        <v>461</v>
      </c>
      <c r="B3" s="39" t="s">
        <v>62</v>
      </c>
      <c r="C3" s="39" t="s">
        <v>63</v>
      </c>
      <c r="D3" s="39" t="s">
        <v>64</v>
      </c>
      <c r="E3" s="39" t="s">
        <v>65</v>
      </c>
      <c r="F3" s="39" t="s">
        <v>66</v>
      </c>
      <c r="G3" s="39" t="s">
        <v>67</v>
      </c>
      <c r="H3" s="39" t="s">
        <v>68</v>
      </c>
      <c r="I3" s="39" t="s">
        <v>69</v>
      </c>
      <c r="J3" s="39" t="s">
        <v>70</v>
      </c>
      <c r="K3" s="39" t="s">
        <v>75</v>
      </c>
      <c r="L3" s="39" t="s">
        <v>71</v>
      </c>
      <c r="M3" s="39" t="s">
        <v>72</v>
      </c>
      <c r="N3" s="39" t="s">
        <v>523</v>
      </c>
      <c r="O3" s="39" t="s">
        <v>524</v>
      </c>
      <c r="P3" s="39" t="s">
        <v>525</v>
      </c>
      <c r="Q3" s="39" t="s">
        <v>73</v>
      </c>
      <c r="R3" s="39" t="s">
        <v>74</v>
      </c>
    </row>
    <row r="4" spans="1:18" s="33" customFormat="1" ht="12.75">
      <c r="A4" s="161">
        <f>MAINSTEM!B187</f>
        <v>225590</v>
      </c>
      <c r="B4" s="161">
        <f>INPUT!C196</f>
        <v>263181</v>
      </c>
      <c r="C4" s="161">
        <f>INPUT!C195</f>
        <v>229146</v>
      </c>
      <c r="D4" s="161">
        <f>INPUT!C260</f>
        <v>32224</v>
      </c>
      <c r="E4" s="161">
        <f>INPUT!C257</f>
        <v>5666</v>
      </c>
      <c r="F4" s="161">
        <f>J9+J10</f>
        <v>6059.594999999999</v>
      </c>
      <c r="G4" s="161">
        <f>E4-J16</f>
        <v>4046.3720000000003</v>
      </c>
      <c r="H4" s="161">
        <f>F4+G4</f>
        <v>10105.967</v>
      </c>
      <c r="I4" s="291">
        <f>J20+J21+J22-J23-J24+J25</f>
        <v>2145</v>
      </c>
      <c r="J4" s="162">
        <f>J29+J30+J31</f>
        <v>725.75</v>
      </c>
      <c r="K4" s="162">
        <f>I4+J4</f>
        <v>2870.75</v>
      </c>
      <c r="L4" s="162">
        <f>B4-C4-H4</f>
        <v>23929.033</v>
      </c>
      <c r="M4" s="162">
        <f>K4+L4</f>
        <v>26799.783</v>
      </c>
      <c r="N4" s="162">
        <f>A4-M4</f>
        <v>198790.217</v>
      </c>
      <c r="O4" s="162">
        <f>0.489*N4</f>
        <v>97208.416113</v>
      </c>
      <c r="P4" s="162">
        <f>0.511*N4</f>
        <v>101581.800887</v>
      </c>
      <c r="Q4" s="162">
        <f>0.489*M4</f>
        <v>13105.093886999999</v>
      </c>
      <c r="R4" s="162">
        <f>0.511*M4</f>
        <v>13694.689113</v>
      </c>
    </row>
    <row r="5" spans="1:18" ht="12.75">
      <c r="A5" s="17"/>
      <c r="B5" s="17"/>
      <c r="C5" s="17"/>
      <c r="D5" s="17"/>
      <c r="E5" s="17"/>
      <c r="F5" s="17"/>
      <c r="G5" s="17"/>
      <c r="H5" s="17"/>
      <c r="L5" s="212"/>
      <c r="N5" s="212"/>
      <c r="O5" s="212"/>
      <c r="P5" s="213"/>
      <c r="Q5" s="213"/>
      <c r="R5" s="213"/>
    </row>
    <row r="6" spans="12:18" ht="12.75">
      <c r="L6" s="212"/>
      <c r="N6" s="212"/>
      <c r="O6" s="212"/>
      <c r="P6" s="213"/>
      <c r="Q6" s="213"/>
      <c r="R6" s="213"/>
    </row>
    <row r="7" ht="12.75">
      <c r="L7" s="212"/>
    </row>
    <row r="8" spans="2:10" ht="12.75">
      <c r="B8" s="163" t="s">
        <v>76</v>
      </c>
      <c r="C8" s="164"/>
      <c r="D8" s="164"/>
      <c r="E8" s="164"/>
      <c r="F8" s="164"/>
      <c r="G8" s="164"/>
      <c r="H8" s="164"/>
      <c r="I8" s="164"/>
      <c r="J8" s="165"/>
    </row>
    <row r="9" spans="2:13" ht="12.75">
      <c r="B9" s="171" t="str">
        <f>MAINSTEM!A89</f>
        <v>Return Flow From Courtland Canal To Republican River Above Hardy From Kansas</v>
      </c>
      <c r="C9" s="172"/>
      <c r="D9" s="172"/>
      <c r="E9" s="172"/>
      <c r="F9" s="172"/>
      <c r="G9" s="172"/>
      <c r="H9" s="172"/>
      <c r="I9" s="173"/>
      <c r="J9" s="73">
        <f>MAINSTEM!B89</f>
        <v>379.455</v>
      </c>
      <c r="K9" s="62"/>
      <c r="L9" s="62"/>
      <c r="M9" s="62"/>
    </row>
    <row r="10" spans="2:13" ht="12.75">
      <c r="B10" s="168" t="s">
        <v>462</v>
      </c>
      <c r="C10" s="169"/>
      <c r="D10" s="169"/>
      <c r="E10" s="169"/>
      <c r="F10" s="169"/>
      <c r="G10" s="169"/>
      <c r="H10" s="169"/>
      <c r="I10" s="170"/>
      <c r="J10" s="174">
        <f>(J12-J13-J15)*0.82</f>
        <v>5680.139999999999</v>
      </c>
      <c r="K10" s="62"/>
      <c r="L10" s="62"/>
      <c r="M10" s="62"/>
    </row>
    <row r="11" spans="2:13" ht="12.75">
      <c r="B11" s="166"/>
      <c r="C11" s="1"/>
      <c r="D11" s="1"/>
      <c r="E11" s="1"/>
      <c r="F11" s="1"/>
      <c r="G11" s="1"/>
      <c r="H11" s="1"/>
      <c r="I11" s="167"/>
      <c r="J11" s="175"/>
      <c r="K11" s="62"/>
      <c r="L11" s="62"/>
      <c r="M11" s="62"/>
    </row>
    <row r="12" spans="2:13" ht="12.75">
      <c r="B12" s="163" t="str">
        <f>MAINSTEM!A57</f>
        <v>Courtland Canal Diversions At Headgate</v>
      </c>
      <c r="C12" s="164"/>
      <c r="D12" s="164"/>
      <c r="E12" s="164"/>
      <c r="F12" s="164"/>
      <c r="G12" s="164"/>
      <c r="H12" s="164"/>
      <c r="I12" s="176"/>
      <c r="J12" s="177">
        <f>MAINSTEM!B57</f>
        <v>32224</v>
      </c>
      <c r="K12" s="62"/>
      <c r="L12" s="62"/>
      <c r="M12" s="62"/>
    </row>
    <row r="13" spans="2:13" ht="12.75">
      <c r="B13" s="171" t="str">
        <f>MAINSTEM!A61</f>
        <v>Courtland Canal At Kansas-Nebraska State Line</v>
      </c>
      <c r="C13" s="172"/>
      <c r="D13" s="172"/>
      <c r="E13" s="172"/>
      <c r="F13" s="172"/>
      <c r="G13" s="172"/>
      <c r="H13" s="172"/>
      <c r="I13" s="173"/>
      <c r="J13" s="73">
        <f>MAINSTEM!B61</f>
        <v>25297</v>
      </c>
      <c r="K13" s="62"/>
      <c r="L13" s="62"/>
      <c r="M13" s="62"/>
    </row>
    <row r="14" spans="2:13" ht="12.75">
      <c r="B14" s="166"/>
      <c r="C14" s="1"/>
      <c r="D14" s="1"/>
      <c r="E14" s="1"/>
      <c r="F14" s="1"/>
      <c r="G14" s="1"/>
      <c r="H14" s="1"/>
      <c r="I14" s="167"/>
      <c r="J14" s="175"/>
      <c r="K14" s="62"/>
      <c r="L14" s="62"/>
      <c r="M14" s="62"/>
    </row>
    <row r="15" spans="2:13" ht="12.75">
      <c r="B15" s="171" t="str">
        <f>MAINSTEM!A119</f>
        <v>NE Courtland Canal CBCU (includes transportation loss)</v>
      </c>
      <c r="C15" s="172"/>
      <c r="D15" s="172"/>
      <c r="E15" s="172"/>
      <c r="F15" s="172"/>
      <c r="G15" s="172"/>
      <c r="H15" s="172"/>
      <c r="I15" s="173"/>
      <c r="J15" s="179">
        <f>MAINSTEM!B119</f>
        <v>0</v>
      </c>
      <c r="K15" s="62"/>
      <c r="L15" s="62"/>
      <c r="M15" s="62"/>
    </row>
    <row r="16" spans="2:13" ht="12.75">
      <c r="B16" s="168" t="str">
        <f>MAINSTEM!A120</f>
        <v>Superior Canal CBCU</v>
      </c>
      <c r="C16" s="169"/>
      <c r="D16" s="169"/>
      <c r="E16" s="169"/>
      <c r="F16" s="169"/>
      <c r="G16" s="169"/>
      <c r="H16" s="169"/>
      <c r="I16" s="170"/>
      <c r="J16" s="174">
        <f>MAINSTEM!B120</f>
        <v>1619.628</v>
      </c>
      <c r="K16" s="62"/>
      <c r="L16" s="62"/>
      <c r="M16" s="62"/>
    </row>
    <row r="17" spans="2:13" ht="12.75">
      <c r="B17" s="1"/>
      <c r="C17" s="1"/>
      <c r="D17" s="1"/>
      <c r="E17" s="1"/>
      <c r="F17" s="1"/>
      <c r="G17" s="1"/>
      <c r="H17" s="1"/>
      <c r="I17" s="167"/>
      <c r="J17" s="184"/>
      <c r="K17" s="62"/>
      <c r="L17" s="62"/>
      <c r="M17" s="62"/>
    </row>
    <row r="18" spans="9:13" ht="12.75">
      <c r="I18" s="62"/>
      <c r="J18" s="160"/>
      <c r="K18" s="62"/>
      <c r="L18" s="62"/>
      <c r="M18" s="62"/>
    </row>
    <row r="19" spans="1:13" ht="12.75">
      <c r="A19" s="183"/>
      <c r="B19" s="171" t="s">
        <v>307</v>
      </c>
      <c r="C19" s="164"/>
      <c r="D19" s="164"/>
      <c r="E19" s="164"/>
      <c r="F19" s="164"/>
      <c r="G19" s="164"/>
      <c r="H19" s="164"/>
      <c r="I19" s="176"/>
      <c r="J19" s="180"/>
      <c r="K19" s="62"/>
      <c r="L19" s="62"/>
      <c r="M19" s="62"/>
    </row>
    <row r="20" spans="1:13" ht="12.75">
      <c r="A20" s="183"/>
      <c r="B20" s="171" t="str">
        <f>INPUT!B144</f>
        <v>SW Diversions - Irrigation - Small Pumps - Nebraska Below Guide Rock</v>
      </c>
      <c r="C20" s="172"/>
      <c r="D20" s="172"/>
      <c r="E20" s="172"/>
      <c r="F20" s="172"/>
      <c r="G20" s="172"/>
      <c r="H20" s="172"/>
      <c r="I20" s="173"/>
      <c r="J20" s="179">
        <f>INPUT!C144</f>
        <v>244</v>
      </c>
      <c r="K20" s="62"/>
      <c r="L20" s="51"/>
      <c r="M20" s="62"/>
    </row>
    <row r="21" spans="1:13" ht="12.75">
      <c r="A21" s="183"/>
      <c r="B21" s="171" t="str">
        <f>INPUT!B145</f>
        <v>SW Diversions - M&amp;I - Nebraska - Below Guide Rock</v>
      </c>
      <c r="C21" s="172"/>
      <c r="D21" s="172"/>
      <c r="E21" s="172"/>
      <c r="F21" s="172"/>
      <c r="G21" s="172"/>
      <c r="H21" s="172"/>
      <c r="I21" s="173"/>
      <c r="J21" s="179">
        <f>INPUT!C145</f>
        <v>0</v>
      </c>
      <c r="K21" s="62"/>
      <c r="L21" s="51"/>
      <c r="M21" s="62"/>
    </row>
    <row r="22" spans="1:13" ht="12.75">
      <c r="A22" s="183"/>
      <c r="B22" s="289" t="s">
        <v>528</v>
      </c>
      <c r="C22" s="172"/>
      <c r="D22" s="172"/>
      <c r="E22" s="172"/>
      <c r="F22" s="172"/>
      <c r="G22" s="172"/>
      <c r="H22" s="172"/>
      <c r="I22" s="173"/>
      <c r="J22" s="290">
        <f>INPUT!C180</f>
        <v>147</v>
      </c>
      <c r="K22" s="62"/>
      <c r="L22" s="51"/>
      <c r="M22" s="62"/>
    </row>
    <row r="23" spans="1:13" ht="12.75">
      <c r="A23" s="183"/>
      <c r="B23" s="171" t="s">
        <v>463</v>
      </c>
      <c r="C23" s="172"/>
      <c r="D23" s="172"/>
      <c r="E23" s="172"/>
      <c r="F23" s="172"/>
      <c r="G23" s="172"/>
      <c r="H23" s="172"/>
      <c r="I23" s="173"/>
      <c r="J23" s="16">
        <f>J20*(1-PumperCUPercent)</f>
        <v>61</v>
      </c>
      <c r="K23" s="62"/>
      <c r="L23" s="62"/>
      <c r="M23" s="62"/>
    </row>
    <row r="24" spans="1:13" ht="12.75">
      <c r="A24" s="183"/>
      <c r="B24" s="171" t="s">
        <v>464</v>
      </c>
      <c r="C24" s="172"/>
      <c r="D24" s="172"/>
      <c r="E24" s="172"/>
      <c r="F24" s="172"/>
      <c r="G24" s="172"/>
      <c r="H24" s="172"/>
      <c r="I24" s="173"/>
      <c r="J24" s="16">
        <f>J21*(1-MI_CUPercent)</f>
        <v>0</v>
      </c>
      <c r="K24" s="62"/>
      <c r="L24" s="62"/>
      <c r="M24" s="62"/>
    </row>
    <row r="25" spans="1:13" ht="12.75">
      <c r="A25" s="183"/>
      <c r="B25" s="168" t="str">
        <f>MAINSTEM!A9</f>
        <v>GW CBCU Nebraska Below Guide Rock</v>
      </c>
      <c r="C25" s="169"/>
      <c r="D25" s="169"/>
      <c r="E25" s="169"/>
      <c r="F25" s="169"/>
      <c r="G25" s="169"/>
      <c r="H25" s="169"/>
      <c r="I25" s="170"/>
      <c r="J25" s="178">
        <f>MAINSTEM!B9</f>
        <v>1815</v>
      </c>
      <c r="K25" s="62"/>
      <c r="L25" s="62"/>
      <c r="M25" s="62"/>
    </row>
    <row r="26" spans="9:13" ht="12.75">
      <c r="I26" s="62"/>
      <c r="J26" s="62"/>
      <c r="K26" s="62"/>
      <c r="L26" s="62"/>
      <c r="M26" s="62"/>
    </row>
    <row r="27" spans="9:13" ht="12.75">
      <c r="I27" s="62"/>
      <c r="J27" s="62"/>
      <c r="K27" s="62"/>
      <c r="L27" s="62"/>
      <c r="M27" s="62"/>
    </row>
    <row r="28" spans="1:10" ht="12.75">
      <c r="A28" s="183"/>
      <c r="B28" s="171" t="s">
        <v>465</v>
      </c>
      <c r="C28" s="164"/>
      <c r="D28" s="164"/>
      <c r="E28" s="164"/>
      <c r="F28" s="164"/>
      <c r="G28" s="164"/>
      <c r="H28" s="164"/>
      <c r="I28" s="164"/>
      <c r="J28" s="165"/>
    </row>
    <row r="29" spans="1:10" ht="12.75">
      <c r="A29" s="183"/>
      <c r="B29" s="171" t="str">
        <f>MAINSTEM!A111</f>
        <v>SW CBCU - Irrigation - Small Pumps</v>
      </c>
      <c r="C29" s="172"/>
      <c r="D29" s="172"/>
      <c r="E29" s="172"/>
      <c r="F29" s="172"/>
      <c r="G29" s="172"/>
      <c r="H29" s="172"/>
      <c r="I29" s="172"/>
      <c r="J29" s="182">
        <f>MAINSTEM!B111</f>
        <v>336.75</v>
      </c>
    </row>
    <row r="30" spans="1:10" ht="12.75">
      <c r="A30" s="183"/>
      <c r="B30" s="171" t="str">
        <f>MAINSTEM!A112</f>
        <v>SW CBCU - M&amp;I</v>
      </c>
      <c r="C30" s="172"/>
      <c r="D30" s="172"/>
      <c r="E30" s="172"/>
      <c r="F30" s="172"/>
      <c r="G30" s="172"/>
      <c r="H30" s="172"/>
      <c r="I30" s="172"/>
      <c r="J30" s="182">
        <f>MAINSTEM!B112</f>
        <v>0</v>
      </c>
    </row>
    <row r="31" spans="1:10" ht="12.75">
      <c r="A31" s="183"/>
      <c r="B31" s="168" t="str">
        <f>MAINSTEM!A7</f>
        <v>GW CBCU Kansas</v>
      </c>
      <c r="C31" s="169"/>
      <c r="D31" s="169"/>
      <c r="E31" s="169"/>
      <c r="F31" s="169"/>
      <c r="G31" s="169"/>
      <c r="H31" s="169"/>
      <c r="I31" s="169"/>
      <c r="J31" s="181">
        <f>MAINSTEM!B7</f>
        <v>389</v>
      </c>
    </row>
    <row r="35" spans="1:19" ht="76.5">
      <c r="A35" s="39" t="s">
        <v>461</v>
      </c>
      <c r="B35" s="39" t="s">
        <v>62</v>
      </c>
      <c r="C35" s="39" t="s">
        <v>63</v>
      </c>
      <c r="D35" s="39" t="s">
        <v>64</v>
      </c>
      <c r="E35" s="39" t="s">
        <v>65</v>
      </c>
      <c r="F35" s="39" t="s">
        <v>66</v>
      </c>
      <c r="G35" s="39" t="s">
        <v>67</v>
      </c>
      <c r="H35" s="39" t="s">
        <v>68</v>
      </c>
      <c r="I35" s="39" t="s">
        <v>69</v>
      </c>
      <c r="J35" s="39" t="s">
        <v>70</v>
      </c>
      <c r="K35" s="39" t="s">
        <v>75</v>
      </c>
      <c r="L35" s="39" t="s">
        <v>71</v>
      </c>
      <c r="M35" s="39" t="s">
        <v>72</v>
      </c>
      <c r="N35" s="39" t="s">
        <v>523</v>
      </c>
      <c r="O35" s="39" t="s">
        <v>524</v>
      </c>
      <c r="P35" s="39" t="s">
        <v>525</v>
      </c>
      <c r="Q35" s="39" t="s">
        <v>73</v>
      </c>
      <c r="R35" s="39" t="s">
        <v>74</v>
      </c>
      <c r="S35" s="369" t="s">
        <v>34</v>
      </c>
    </row>
    <row r="36" spans="1:19" ht="12.75">
      <c r="A36" s="161">
        <v>77740</v>
      </c>
      <c r="B36" s="161">
        <v>14089</v>
      </c>
      <c r="C36" s="161">
        <v>2711</v>
      </c>
      <c r="D36" s="161">
        <v>50630.97255</v>
      </c>
      <c r="E36" s="161">
        <v>0</v>
      </c>
      <c r="F36" s="161">
        <v>10546.964955999998</v>
      </c>
      <c r="G36" s="161">
        <v>0</v>
      </c>
      <c r="H36" s="161">
        <v>10546.964955999998</v>
      </c>
      <c r="I36" s="291">
        <v>3064.17</v>
      </c>
      <c r="J36" s="162">
        <v>786.9625000000001</v>
      </c>
      <c r="K36" s="162">
        <v>3851.1325</v>
      </c>
      <c r="L36" s="162">
        <v>831.035044000002</v>
      </c>
      <c r="M36" s="162">
        <v>4682.167544000002</v>
      </c>
      <c r="N36" s="162">
        <v>73057.832456</v>
      </c>
      <c r="O36" s="162">
        <v>35725.280070984</v>
      </c>
      <c r="P36" s="162">
        <v>37332.552385016</v>
      </c>
      <c r="Q36" s="162">
        <v>2289.5799290160007</v>
      </c>
      <c r="R36" s="162">
        <v>2392.587614984001</v>
      </c>
      <c r="S36" s="279">
        <v>2006</v>
      </c>
    </row>
    <row r="37" spans="1:19" ht="12.75">
      <c r="A37" s="161">
        <v>108620</v>
      </c>
      <c r="B37" s="161">
        <v>99384</v>
      </c>
      <c r="C37" s="161">
        <v>60873</v>
      </c>
      <c r="D37" s="161">
        <v>65851</v>
      </c>
      <c r="E37" s="161">
        <v>0</v>
      </c>
      <c r="F37" s="161">
        <v>8808.34</v>
      </c>
      <c r="G37" s="161">
        <v>0</v>
      </c>
      <c r="H37" s="161">
        <v>8808.34</v>
      </c>
      <c r="I37" s="291">
        <v>2769.5</v>
      </c>
      <c r="J37" s="162">
        <v>883.5</v>
      </c>
      <c r="K37" s="162">
        <v>3653</v>
      </c>
      <c r="L37" s="162">
        <v>29702.66</v>
      </c>
      <c r="M37" s="162">
        <v>33355.66</v>
      </c>
      <c r="N37" s="162">
        <v>75264.34</v>
      </c>
      <c r="O37" s="162">
        <v>36804.262259999996</v>
      </c>
      <c r="P37" s="162">
        <v>38460.07774</v>
      </c>
      <c r="Q37" s="162">
        <v>16310.91774</v>
      </c>
      <c r="R37" s="162">
        <v>17044.742260000003</v>
      </c>
      <c r="S37" s="279">
        <v>2007</v>
      </c>
    </row>
    <row r="38" spans="1:19" ht="12.75">
      <c r="A38" s="370">
        <f>A4</f>
        <v>225590</v>
      </c>
      <c r="B38" s="370">
        <f aca="true" t="shared" si="0" ref="B38:R38">B4</f>
        <v>263181</v>
      </c>
      <c r="C38" s="370">
        <f t="shared" si="0"/>
        <v>229146</v>
      </c>
      <c r="D38" s="370">
        <f t="shared" si="0"/>
        <v>32224</v>
      </c>
      <c r="E38" s="370">
        <f t="shared" si="0"/>
        <v>5666</v>
      </c>
      <c r="F38" s="370">
        <f t="shared" si="0"/>
        <v>6059.594999999999</v>
      </c>
      <c r="G38" s="370">
        <f t="shared" si="0"/>
        <v>4046.3720000000003</v>
      </c>
      <c r="H38" s="370">
        <f t="shared" si="0"/>
        <v>10105.967</v>
      </c>
      <c r="I38" s="371">
        <f t="shared" si="0"/>
        <v>2145</v>
      </c>
      <c r="J38" s="370">
        <f t="shared" si="0"/>
        <v>725.75</v>
      </c>
      <c r="K38" s="370">
        <f t="shared" si="0"/>
        <v>2870.75</v>
      </c>
      <c r="L38" s="370">
        <f t="shared" si="0"/>
        <v>23929.033</v>
      </c>
      <c r="M38" s="370">
        <f t="shared" si="0"/>
        <v>26799.783</v>
      </c>
      <c r="N38" s="370">
        <f t="shared" si="0"/>
        <v>198790.217</v>
      </c>
      <c r="O38" s="370">
        <f t="shared" si="0"/>
        <v>97208.416113</v>
      </c>
      <c r="P38" s="370">
        <f t="shared" si="0"/>
        <v>101581.800887</v>
      </c>
      <c r="Q38" s="370">
        <f t="shared" si="0"/>
        <v>13105.093886999999</v>
      </c>
      <c r="R38" s="370">
        <f t="shared" si="0"/>
        <v>13694.689113</v>
      </c>
      <c r="S38" s="279">
        <v>2008</v>
      </c>
    </row>
  </sheetData>
  <sheetProtection/>
  <printOptions/>
  <pageMargins left="0.48" right="0.43" top="1" bottom="1" header="0.5" footer="0.5"/>
  <pageSetup fitToHeight="1" fitToWidth="1" horizontalDpi="600" verticalDpi="600" orientation="landscape" scale="78"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X62"/>
  <sheetViews>
    <sheetView zoomScalePageLayoutView="0" workbookViewId="0" topLeftCell="A1">
      <selection activeCell="A46" sqref="A46:F62"/>
    </sheetView>
  </sheetViews>
  <sheetFormatPr defaultColWidth="9.140625" defaultRowHeight="12.75"/>
  <cols>
    <col min="1" max="1" width="20.2812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15" ht="12.75">
      <c r="A1" s="82">
        <v>2008</v>
      </c>
      <c r="B1" s="83"/>
      <c r="N1" s="82">
        <v>2007</v>
      </c>
      <c r="O1" s="83"/>
    </row>
    <row r="2" spans="1:14" ht="12.75">
      <c r="A2" s="3" t="s">
        <v>362</v>
      </c>
      <c r="N2" s="3" t="s">
        <v>362</v>
      </c>
    </row>
    <row r="4" spans="1:24" ht="12.75">
      <c r="A4" s="80" t="s">
        <v>363</v>
      </c>
      <c r="B4" s="84" t="s">
        <v>364</v>
      </c>
      <c r="C4" s="84" t="s">
        <v>365</v>
      </c>
      <c r="D4" s="84" t="s">
        <v>366</v>
      </c>
      <c r="E4" s="84" t="s">
        <v>367</v>
      </c>
      <c r="F4" s="84" t="s">
        <v>368</v>
      </c>
      <c r="G4" s="84" t="s">
        <v>369</v>
      </c>
      <c r="H4" s="84" t="s">
        <v>370</v>
      </c>
      <c r="I4" s="84" t="s">
        <v>371</v>
      </c>
      <c r="J4" s="84" t="s">
        <v>372</v>
      </c>
      <c r="K4" s="85" t="s">
        <v>373</v>
      </c>
      <c r="N4" s="80" t="s">
        <v>363</v>
      </c>
      <c r="O4" s="84" t="s">
        <v>364</v>
      </c>
      <c r="P4" s="84" t="s">
        <v>365</v>
      </c>
      <c r="Q4" s="84" t="s">
        <v>366</v>
      </c>
      <c r="R4" s="84" t="s">
        <v>367</v>
      </c>
      <c r="S4" s="84" t="s">
        <v>368</v>
      </c>
      <c r="T4" s="84" t="s">
        <v>369</v>
      </c>
      <c r="U4" s="84" t="s">
        <v>370</v>
      </c>
      <c r="V4" s="84" t="s">
        <v>371</v>
      </c>
      <c r="W4" s="84" t="s">
        <v>372</v>
      </c>
      <c r="X4" s="85" t="s">
        <v>373</v>
      </c>
    </row>
    <row r="5" spans="1:24" ht="12.75">
      <c r="A5" s="88" t="s">
        <v>320</v>
      </c>
      <c r="B5" s="89" t="s">
        <v>374</v>
      </c>
      <c r="C5" s="89" t="s">
        <v>375</v>
      </c>
      <c r="D5" s="89" t="s">
        <v>376</v>
      </c>
      <c r="E5" s="89" t="s">
        <v>377</v>
      </c>
      <c r="F5" s="89" t="s">
        <v>378</v>
      </c>
      <c r="G5" s="89" t="s">
        <v>379</v>
      </c>
      <c r="H5" s="89" t="s">
        <v>380</v>
      </c>
      <c r="I5" s="92" t="s">
        <v>386</v>
      </c>
      <c r="J5" s="89" t="s">
        <v>381</v>
      </c>
      <c r="K5" s="90" t="s">
        <v>382</v>
      </c>
      <c r="L5" s="429" t="s">
        <v>673</v>
      </c>
      <c r="M5" s="427"/>
      <c r="N5" s="88" t="s">
        <v>320</v>
      </c>
      <c r="O5" s="89" t="s">
        <v>374</v>
      </c>
      <c r="P5" s="89" t="s">
        <v>375</v>
      </c>
      <c r="Q5" s="89" t="s">
        <v>376</v>
      </c>
      <c r="R5" s="89" t="s">
        <v>377</v>
      </c>
      <c r="S5" s="89" t="s">
        <v>378</v>
      </c>
      <c r="T5" s="89" t="s">
        <v>379</v>
      </c>
      <c r="U5" s="89" t="s">
        <v>380</v>
      </c>
      <c r="V5" s="92" t="s">
        <v>386</v>
      </c>
      <c r="W5" s="89" t="s">
        <v>381</v>
      </c>
      <c r="X5" s="90" t="s">
        <v>382</v>
      </c>
    </row>
    <row r="6" spans="1:24" ht="12.75">
      <c r="A6" s="91"/>
      <c r="B6" s="92" t="s">
        <v>348</v>
      </c>
      <c r="C6" s="92" t="s">
        <v>383</v>
      </c>
      <c r="D6" s="92" t="s">
        <v>384</v>
      </c>
      <c r="E6" s="92"/>
      <c r="F6" s="92" t="s">
        <v>379</v>
      </c>
      <c r="G6" s="92"/>
      <c r="H6" s="92" t="s">
        <v>385</v>
      </c>
      <c r="I6" s="92" t="s">
        <v>390</v>
      </c>
      <c r="J6" s="92" t="s">
        <v>387</v>
      </c>
      <c r="K6" s="93" t="s">
        <v>388</v>
      </c>
      <c r="L6" s="429" t="s">
        <v>674</v>
      </c>
      <c r="M6" s="427"/>
      <c r="N6" s="91"/>
      <c r="O6" s="92" t="s">
        <v>348</v>
      </c>
      <c r="P6" s="92" t="s">
        <v>383</v>
      </c>
      <c r="Q6" s="92" t="s">
        <v>384</v>
      </c>
      <c r="R6" s="92"/>
      <c r="S6" s="92" t="s">
        <v>379</v>
      </c>
      <c r="T6" s="92"/>
      <c r="U6" s="92" t="s">
        <v>385</v>
      </c>
      <c r="V6" s="92" t="s">
        <v>390</v>
      </c>
      <c r="W6" s="92" t="s">
        <v>387</v>
      </c>
      <c r="X6" s="93" t="s">
        <v>388</v>
      </c>
    </row>
    <row r="7" spans="1:24" ht="12.75">
      <c r="A7" s="91"/>
      <c r="B7" s="92"/>
      <c r="C7" s="92"/>
      <c r="D7" s="92"/>
      <c r="E7" s="92"/>
      <c r="F7" s="92" t="s">
        <v>389</v>
      </c>
      <c r="G7" s="92"/>
      <c r="H7" s="92"/>
      <c r="I7" s="92" t="s">
        <v>392</v>
      </c>
      <c r="J7" s="92" t="s">
        <v>391</v>
      </c>
      <c r="K7" s="93" t="s">
        <v>320</v>
      </c>
      <c r="L7" s="428" t="s">
        <v>671</v>
      </c>
      <c r="M7" s="428"/>
      <c r="N7" s="91"/>
      <c r="O7" s="92"/>
      <c r="P7" s="92"/>
      <c r="Q7" s="92"/>
      <c r="R7" s="92"/>
      <c r="S7" s="92" t="s">
        <v>389</v>
      </c>
      <c r="T7" s="92"/>
      <c r="U7" s="92"/>
      <c r="V7" s="92" t="s">
        <v>392</v>
      </c>
      <c r="W7" s="92" t="s">
        <v>391</v>
      </c>
      <c r="X7" s="93" t="s">
        <v>320</v>
      </c>
    </row>
    <row r="8" spans="1:24" ht="12.75">
      <c r="A8" s="91"/>
      <c r="B8" s="92"/>
      <c r="C8" s="92"/>
      <c r="D8" s="92"/>
      <c r="E8" s="92"/>
      <c r="F8" s="92"/>
      <c r="G8" s="92"/>
      <c r="H8" s="92"/>
      <c r="I8" s="92" t="s">
        <v>394</v>
      </c>
      <c r="J8" s="92" t="s">
        <v>393</v>
      </c>
      <c r="K8" s="93" t="s">
        <v>348</v>
      </c>
      <c r="L8" s="428" t="s">
        <v>672</v>
      </c>
      <c r="M8" s="428"/>
      <c r="N8" s="91"/>
      <c r="O8" s="92"/>
      <c r="P8" s="92"/>
      <c r="Q8" s="92"/>
      <c r="R8" s="92"/>
      <c r="S8" s="92"/>
      <c r="T8" s="92"/>
      <c r="U8" s="92"/>
      <c r="V8" s="92" t="s">
        <v>394</v>
      </c>
      <c r="W8" s="92" t="s">
        <v>393</v>
      </c>
      <c r="X8" s="93" t="s">
        <v>348</v>
      </c>
    </row>
    <row r="9" spans="1:24" ht="12.75">
      <c r="A9" s="91"/>
      <c r="B9" s="92"/>
      <c r="C9" s="92"/>
      <c r="D9" s="92"/>
      <c r="E9" s="92"/>
      <c r="F9" s="92"/>
      <c r="G9" s="92"/>
      <c r="H9" s="92"/>
      <c r="I9" s="92" t="s">
        <v>395</v>
      </c>
      <c r="J9" s="92" t="s">
        <v>318</v>
      </c>
      <c r="K9" s="93"/>
      <c r="N9" s="91"/>
      <c r="O9" s="92"/>
      <c r="P9" s="92"/>
      <c r="Q9" s="92"/>
      <c r="R9" s="92"/>
      <c r="S9" s="92"/>
      <c r="T9" s="92"/>
      <c r="U9" s="92"/>
      <c r="V9" s="92" t="s">
        <v>395</v>
      </c>
      <c r="W9" s="92" t="s">
        <v>318</v>
      </c>
      <c r="X9" s="93"/>
    </row>
    <row r="10" spans="1:24" ht="12.75">
      <c r="A10" s="88" t="s">
        <v>396</v>
      </c>
      <c r="B10" s="89" t="s">
        <v>397</v>
      </c>
      <c r="C10" s="89" t="s">
        <v>398</v>
      </c>
      <c r="D10" s="89" t="s">
        <v>399</v>
      </c>
      <c r="E10" s="89" t="s">
        <v>400</v>
      </c>
      <c r="F10" s="89" t="s">
        <v>401</v>
      </c>
      <c r="G10" s="89" t="s">
        <v>402</v>
      </c>
      <c r="H10" s="89" t="s">
        <v>403</v>
      </c>
      <c r="I10" s="89" t="s">
        <v>404</v>
      </c>
      <c r="J10" s="89" t="s">
        <v>405</v>
      </c>
      <c r="K10" s="94" t="s">
        <v>406</v>
      </c>
      <c r="N10" s="88" t="s">
        <v>396</v>
      </c>
      <c r="O10" s="89" t="s">
        <v>397</v>
      </c>
      <c r="P10" s="89" t="s">
        <v>398</v>
      </c>
      <c r="Q10" s="89" t="s">
        <v>399</v>
      </c>
      <c r="R10" s="89" t="s">
        <v>400</v>
      </c>
      <c r="S10" s="89" t="s">
        <v>401</v>
      </c>
      <c r="T10" s="89" t="s">
        <v>402</v>
      </c>
      <c r="U10" s="89" t="s">
        <v>403</v>
      </c>
      <c r="V10" s="89" t="s">
        <v>404</v>
      </c>
      <c r="W10" s="89" t="s">
        <v>405</v>
      </c>
      <c r="X10" s="94" t="s">
        <v>406</v>
      </c>
    </row>
    <row r="11" spans="1:24" ht="12.75">
      <c r="A11" s="91"/>
      <c r="B11" s="92" t="s">
        <v>348</v>
      </c>
      <c r="C11" s="92" t="s">
        <v>407</v>
      </c>
      <c r="D11" s="92" t="s">
        <v>408</v>
      </c>
      <c r="E11" s="92"/>
      <c r="F11" s="92" t="s">
        <v>37</v>
      </c>
      <c r="G11" s="92" t="s">
        <v>368</v>
      </c>
      <c r="H11" s="92" t="s">
        <v>369</v>
      </c>
      <c r="I11" s="92" t="s">
        <v>409</v>
      </c>
      <c r="J11" s="92" t="s">
        <v>371</v>
      </c>
      <c r="K11" s="93"/>
      <c r="N11" s="91"/>
      <c r="O11" s="92" t="s">
        <v>348</v>
      </c>
      <c r="P11" s="92" t="s">
        <v>407</v>
      </c>
      <c r="Q11" s="92" t="s">
        <v>408</v>
      </c>
      <c r="R11" s="92"/>
      <c r="S11" s="92" t="s">
        <v>37</v>
      </c>
      <c r="T11" s="92" t="s">
        <v>368</v>
      </c>
      <c r="U11" s="92" t="s">
        <v>369</v>
      </c>
      <c r="V11" s="92" t="s">
        <v>409</v>
      </c>
      <c r="W11" s="92" t="s">
        <v>371</v>
      </c>
      <c r="X11" s="93"/>
    </row>
    <row r="12" spans="1:24" ht="12.75">
      <c r="A12" s="91"/>
      <c r="B12" s="92"/>
      <c r="C12" s="92" t="s">
        <v>410</v>
      </c>
      <c r="D12" s="92" t="s">
        <v>411</v>
      </c>
      <c r="E12" s="92"/>
      <c r="F12" s="92" t="s">
        <v>412</v>
      </c>
      <c r="G12" s="92"/>
      <c r="H12" s="92"/>
      <c r="I12" s="92"/>
      <c r="J12" s="92"/>
      <c r="K12" s="93"/>
      <c r="N12" s="91"/>
      <c r="O12" s="92"/>
      <c r="P12" s="92" t="s">
        <v>410</v>
      </c>
      <c r="Q12" s="92" t="s">
        <v>411</v>
      </c>
      <c r="R12" s="92"/>
      <c r="S12" s="92" t="s">
        <v>412</v>
      </c>
      <c r="T12" s="92"/>
      <c r="U12" s="92"/>
      <c r="V12" s="92"/>
      <c r="W12" s="92"/>
      <c r="X12" s="93"/>
    </row>
    <row r="13" spans="1:24" ht="12.75">
      <c r="A13" s="91"/>
      <c r="B13" s="92"/>
      <c r="C13" s="92"/>
      <c r="D13" s="92"/>
      <c r="E13" s="92"/>
      <c r="F13" s="92" t="s">
        <v>413</v>
      </c>
      <c r="G13" s="92"/>
      <c r="H13" s="92"/>
      <c r="I13" s="92"/>
      <c r="J13" s="92"/>
      <c r="K13" s="93"/>
      <c r="N13" s="91"/>
      <c r="O13" s="92"/>
      <c r="P13" s="92"/>
      <c r="Q13" s="92"/>
      <c r="R13" s="92"/>
      <c r="S13" s="92" t="s">
        <v>413</v>
      </c>
      <c r="T13" s="92"/>
      <c r="U13" s="92"/>
      <c r="V13" s="92"/>
      <c r="W13" s="92"/>
      <c r="X13" s="93"/>
    </row>
    <row r="14" spans="1:24" ht="12.75">
      <c r="A14" s="91"/>
      <c r="B14" s="92"/>
      <c r="C14" s="92"/>
      <c r="D14" s="92"/>
      <c r="E14" s="92"/>
      <c r="F14" s="92" t="s">
        <v>414</v>
      </c>
      <c r="G14" s="92"/>
      <c r="H14" s="92"/>
      <c r="I14" s="92"/>
      <c r="J14" s="92"/>
      <c r="K14" s="93"/>
      <c r="N14" s="91"/>
      <c r="O14" s="92"/>
      <c r="P14" s="92"/>
      <c r="Q14" s="92"/>
      <c r="R14" s="92"/>
      <c r="S14" s="92" t="s">
        <v>414</v>
      </c>
      <c r="T14" s="92"/>
      <c r="U14" s="92"/>
      <c r="V14" s="92"/>
      <c r="W14" s="92"/>
      <c r="X14" s="93"/>
    </row>
    <row r="15" spans="1:24" ht="12.75">
      <c r="A15" s="91"/>
      <c r="B15" s="92"/>
      <c r="C15" s="92"/>
      <c r="D15" s="92"/>
      <c r="E15" s="92"/>
      <c r="F15" s="92" t="s">
        <v>415</v>
      </c>
      <c r="G15" s="92"/>
      <c r="H15" s="92"/>
      <c r="I15" s="92"/>
      <c r="J15" s="92"/>
      <c r="K15" s="93"/>
      <c r="N15" s="91"/>
      <c r="O15" s="92"/>
      <c r="P15" s="92"/>
      <c r="Q15" s="92"/>
      <c r="R15" s="92"/>
      <c r="S15" s="92" t="s">
        <v>415</v>
      </c>
      <c r="T15" s="92"/>
      <c r="U15" s="92"/>
      <c r="V15" s="92"/>
      <c r="W15" s="92"/>
      <c r="X15" s="93"/>
    </row>
    <row r="16" spans="1:24" ht="12.75">
      <c r="A16" s="199" t="s">
        <v>416</v>
      </c>
      <c r="B16" s="200">
        <v>100</v>
      </c>
      <c r="C16" s="200">
        <v>5</v>
      </c>
      <c r="D16" s="200">
        <v>60</v>
      </c>
      <c r="E16" s="200">
        <f aca="true" t="shared" si="0" ref="E16:E30">B16-D16</f>
        <v>40</v>
      </c>
      <c r="F16" s="201">
        <v>0.3</v>
      </c>
      <c r="G16" s="200">
        <f aca="true" t="shared" si="1" ref="G16:G30">D16*F16</f>
        <v>18</v>
      </c>
      <c r="H16" s="200">
        <f aca="true" t="shared" si="2" ref="H16:H30">E16+G16</f>
        <v>58</v>
      </c>
      <c r="I16" s="201">
        <v>0.82</v>
      </c>
      <c r="J16" s="200">
        <f aca="true" t="shared" si="3" ref="J16:J30">H16*I16</f>
        <v>47.559999999999995</v>
      </c>
      <c r="K16" s="201">
        <f>J16/B16</f>
        <v>0.47559999999999997</v>
      </c>
      <c r="L16" s="303">
        <f>H16-J16</f>
        <v>10.440000000000005</v>
      </c>
      <c r="M16" s="303"/>
      <c r="N16" s="199" t="s">
        <v>416</v>
      </c>
      <c r="O16" s="200">
        <v>100</v>
      </c>
      <c r="P16" s="200">
        <v>5</v>
      </c>
      <c r="Q16" s="200">
        <v>60</v>
      </c>
      <c r="R16" s="200">
        <f aca="true" t="shared" si="4" ref="R16:R27">O16-Q16</f>
        <v>40</v>
      </c>
      <c r="S16" s="201">
        <v>0.3</v>
      </c>
      <c r="T16" s="200">
        <f aca="true" t="shared" si="5" ref="T16:T27">Q16*S16</f>
        <v>18</v>
      </c>
      <c r="U16" s="200">
        <f aca="true" t="shared" si="6" ref="U16:U27">R16+T16</f>
        <v>58</v>
      </c>
      <c r="V16" s="201">
        <v>0.82</v>
      </c>
      <c r="W16" s="200">
        <f aca="true" t="shared" si="7" ref="W16:W27">U16*V16</f>
        <v>47.559999999999995</v>
      </c>
      <c r="X16" s="201">
        <f>W16/O16</f>
        <v>0.47559999999999997</v>
      </c>
    </row>
    <row r="17" spans="1:24" ht="25.5">
      <c r="A17" s="86" t="s">
        <v>417</v>
      </c>
      <c r="B17" s="408">
        <v>0</v>
      </c>
      <c r="C17" s="407"/>
      <c r="D17" s="408">
        <v>0</v>
      </c>
      <c r="E17" s="4">
        <f t="shared" si="0"/>
        <v>0</v>
      </c>
      <c r="F17" s="18">
        <v>0.3</v>
      </c>
      <c r="G17" s="4">
        <f t="shared" si="1"/>
        <v>0</v>
      </c>
      <c r="H17" s="4">
        <f t="shared" si="2"/>
        <v>0</v>
      </c>
      <c r="I17" s="18">
        <v>0.82</v>
      </c>
      <c r="J17" s="4">
        <f t="shared" si="3"/>
        <v>0</v>
      </c>
      <c r="K17" s="18">
        <f aca="true" t="shared" si="8" ref="K17:K30">IF(B17&gt;0,J17/B17,1)</f>
        <v>1</v>
      </c>
      <c r="L17" s="303">
        <f>H17-J17</f>
        <v>0</v>
      </c>
      <c r="M17" s="303"/>
      <c r="N17" s="86" t="s">
        <v>417</v>
      </c>
      <c r="O17" s="214">
        <v>0</v>
      </c>
      <c r="P17" s="215"/>
      <c r="Q17" s="214">
        <v>0</v>
      </c>
      <c r="R17" s="4">
        <f t="shared" si="4"/>
        <v>0</v>
      </c>
      <c r="S17" s="18">
        <v>0.3</v>
      </c>
      <c r="T17" s="4">
        <f t="shared" si="5"/>
        <v>0</v>
      </c>
      <c r="U17" s="4">
        <f t="shared" si="6"/>
        <v>0</v>
      </c>
      <c r="V17" s="18">
        <v>0.82</v>
      </c>
      <c r="W17" s="4">
        <f t="shared" si="7"/>
        <v>0</v>
      </c>
      <c r="X17" s="18">
        <f aca="true" t="shared" si="9" ref="X17:X27">IF(O17&gt;0,W17/O17,1)</f>
        <v>1</v>
      </c>
    </row>
    <row r="18" spans="1:24" ht="27.75" customHeight="1">
      <c r="A18" s="86" t="s">
        <v>418</v>
      </c>
      <c r="B18" s="409">
        <v>0</v>
      </c>
      <c r="C18" s="407"/>
      <c r="D18" s="409">
        <v>0</v>
      </c>
      <c r="E18" s="4">
        <f t="shared" si="0"/>
        <v>0</v>
      </c>
      <c r="F18" s="18">
        <v>0.3</v>
      </c>
      <c r="G18" s="4">
        <f t="shared" si="1"/>
        <v>0</v>
      </c>
      <c r="H18" s="4">
        <f t="shared" si="2"/>
        <v>0</v>
      </c>
      <c r="I18" s="18">
        <v>0.82</v>
      </c>
      <c r="J18" s="4">
        <f t="shared" si="3"/>
        <v>0</v>
      </c>
      <c r="K18" s="18">
        <f t="shared" si="8"/>
        <v>1</v>
      </c>
      <c r="L18" s="303">
        <f aca="true" t="shared" si="10" ref="L18:L30">H18-J18</f>
        <v>0</v>
      </c>
      <c r="M18" s="303"/>
      <c r="N18" s="86" t="s">
        <v>418</v>
      </c>
      <c r="O18" s="215">
        <v>0</v>
      </c>
      <c r="P18" s="215"/>
      <c r="Q18" s="215">
        <v>0</v>
      </c>
      <c r="R18" s="4">
        <f t="shared" si="4"/>
        <v>0</v>
      </c>
      <c r="S18" s="18">
        <v>0.3</v>
      </c>
      <c r="T18" s="4">
        <f t="shared" si="5"/>
        <v>0</v>
      </c>
      <c r="U18" s="4">
        <f t="shared" si="6"/>
        <v>0</v>
      </c>
      <c r="V18" s="18">
        <v>0.82</v>
      </c>
      <c r="W18" s="4">
        <f t="shared" si="7"/>
        <v>0</v>
      </c>
      <c r="X18" s="18">
        <f t="shared" si="9"/>
        <v>1</v>
      </c>
    </row>
    <row r="19" spans="1:24" ht="25.5">
      <c r="A19" s="86" t="s">
        <v>419</v>
      </c>
      <c r="B19" s="409">
        <v>0</v>
      </c>
      <c r="C19" s="407"/>
      <c r="D19" s="409">
        <v>0</v>
      </c>
      <c r="E19" s="4">
        <f t="shared" si="0"/>
        <v>0</v>
      </c>
      <c r="F19" s="18">
        <v>0.3</v>
      </c>
      <c r="G19" s="4">
        <f t="shared" si="1"/>
        <v>0</v>
      </c>
      <c r="H19" s="4">
        <f t="shared" si="2"/>
        <v>0</v>
      </c>
      <c r="I19" s="18">
        <v>0.82</v>
      </c>
      <c r="J19" s="4">
        <f t="shared" si="3"/>
        <v>0</v>
      </c>
      <c r="K19" s="18">
        <f t="shared" si="8"/>
        <v>1</v>
      </c>
      <c r="L19" s="303">
        <f t="shared" si="10"/>
        <v>0</v>
      </c>
      <c r="M19" s="303"/>
      <c r="N19" s="86" t="s">
        <v>419</v>
      </c>
      <c r="O19" s="215">
        <v>0</v>
      </c>
      <c r="P19" s="215"/>
      <c r="Q19" s="215">
        <v>0</v>
      </c>
      <c r="R19" s="4">
        <f t="shared" si="4"/>
        <v>0</v>
      </c>
      <c r="S19" s="18">
        <v>0.3</v>
      </c>
      <c r="T19" s="4">
        <f t="shared" si="5"/>
        <v>0</v>
      </c>
      <c r="U19" s="4">
        <f t="shared" si="6"/>
        <v>0</v>
      </c>
      <c r="V19" s="18">
        <v>0.82</v>
      </c>
      <c r="W19" s="4">
        <f t="shared" si="7"/>
        <v>0</v>
      </c>
      <c r="X19" s="18">
        <f t="shared" si="9"/>
        <v>1</v>
      </c>
    </row>
    <row r="20" spans="1:24" ht="25.5">
      <c r="A20" s="86" t="s">
        <v>20</v>
      </c>
      <c r="B20" s="409">
        <v>4089</v>
      </c>
      <c r="C20" s="407"/>
      <c r="D20" s="409">
        <v>1215</v>
      </c>
      <c r="E20" s="4">
        <f t="shared" si="0"/>
        <v>2874</v>
      </c>
      <c r="F20" s="18">
        <v>0.3</v>
      </c>
      <c r="G20" s="4">
        <f t="shared" si="1"/>
        <v>364.5</v>
      </c>
      <c r="H20" s="4">
        <f t="shared" si="2"/>
        <v>3238.5</v>
      </c>
      <c r="I20" s="18">
        <v>0.82</v>
      </c>
      <c r="J20" s="4">
        <f t="shared" si="3"/>
        <v>2655.5699999999997</v>
      </c>
      <c r="K20" s="18">
        <f t="shared" si="8"/>
        <v>0.6494424064563462</v>
      </c>
      <c r="L20" s="303">
        <f t="shared" si="10"/>
        <v>582.9300000000003</v>
      </c>
      <c r="M20" s="303"/>
      <c r="N20" s="86" t="s">
        <v>20</v>
      </c>
      <c r="O20" s="215">
        <v>0</v>
      </c>
      <c r="P20" s="215"/>
      <c r="Q20" s="215">
        <v>0</v>
      </c>
      <c r="R20" s="4">
        <f t="shared" si="4"/>
        <v>0</v>
      </c>
      <c r="S20" s="18">
        <v>0.3</v>
      </c>
      <c r="T20" s="4">
        <f t="shared" si="5"/>
        <v>0</v>
      </c>
      <c r="U20" s="4">
        <f t="shared" si="6"/>
        <v>0</v>
      </c>
      <c r="V20" s="18">
        <v>0.82</v>
      </c>
      <c r="W20" s="4">
        <f t="shared" si="7"/>
        <v>0</v>
      </c>
      <c r="X20" s="18">
        <f t="shared" si="9"/>
        <v>1</v>
      </c>
    </row>
    <row r="21" spans="1:24" ht="12.75">
      <c r="A21" s="86" t="s">
        <v>420</v>
      </c>
      <c r="B21" s="409">
        <v>0</v>
      </c>
      <c r="C21" s="407"/>
      <c r="D21" s="409">
        <v>0</v>
      </c>
      <c r="E21" s="4">
        <f t="shared" si="0"/>
        <v>0</v>
      </c>
      <c r="F21" s="18">
        <v>0.3</v>
      </c>
      <c r="G21" s="4">
        <f t="shared" si="1"/>
        <v>0</v>
      </c>
      <c r="H21" s="4">
        <f t="shared" si="2"/>
        <v>0</v>
      </c>
      <c r="I21" s="18">
        <v>0.82</v>
      </c>
      <c r="J21" s="4">
        <f t="shared" si="3"/>
        <v>0</v>
      </c>
      <c r="K21" s="18">
        <f t="shared" si="8"/>
        <v>1</v>
      </c>
      <c r="L21" s="303">
        <f t="shared" si="10"/>
        <v>0</v>
      </c>
      <c r="M21" s="303"/>
      <c r="N21" s="86" t="s">
        <v>420</v>
      </c>
      <c r="O21" s="215">
        <v>0</v>
      </c>
      <c r="P21" s="215"/>
      <c r="Q21" s="215">
        <v>0</v>
      </c>
      <c r="R21" s="4">
        <f t="shared" si="4"/>
        <v>0</v>
      </c>
      <c r="S21" s="18">
        <v>0.3</v>
      </c>
      <c r="T21" s="4">
        <f t="shared" si="5"/>
        <v>0</v>
      </c>
      <c r="U21" s="4">
        <f t="shared" si="6"/>
        <v>0</v>
      </c>
      <c r="V21" s="18">
        <v>0.82</v>
      </c>
      <c r="W21" s="4">
        <f t="shared" si="7"/>
        <v>0</v>
      </c>
      <c r="X21" s="18">
        <f t="shared" si="9"/>
        <v>1</v>
      </c>
    </row>
    <row r="22" spans="1:24" ht="25.5">
      <c r="A22" s="86" t="s">
        <v>421</v>
      </c>
      <c r="B22" s="409">
        <v>19387</v>
      </c>
      <c r="C22" s="407"/>
      <c r="D22" s="409">
        <v>8759</v>
      </c>
      <c r="E22" s="4">
        <f t="shared" si="0"/>
        <v>10628</v>
      </c>
      <c r="F22" s="18">
        <v>0.3</v>
      </c>
      <c r="G22" s="4">
        <f t="shared" si="1"/>
        <v>2627.7</v>
      </c>
      <c r="H22" s="4">
        <f t="shared" si="2"/>
        <v>13255.7</v>
      </c>
      <c r="I22" s="18">
        <v>0.82</v>
      </c>
      <c r="J22" s="4">
        <f t="shared" si="3"/>
        <v>10869.673999999999</v>
      </c>
      <c r="K22" s="18">
        <f t="shared" si="8"/>
        <v>0.5606681797080517</v>
      </c>
      <c r="L22" s="303">
        <f t="shared" si="10"/>
        <v>2386.0260000000017</v>
      </c>
      <c r="M22" s="303"/>
      <c r="N22" s="86" t="s">
        <v>421</v>
      </c>
      <c r="O22" s="215">
        <v>0</v>
      </c>
      <c r="P22" s="215"/>
      <c r="Q22" s="215">
        <v>0</v>
      </c>
      <c r="R22" s="4">
        <f t="shared" si="4"/>
        <v>0</v>
      </c>
      <c r="S22" s="18">
        <v>0.3</v>
      </c>
      <c r="T22" s="4">
        <f t="shared" si="5"/>
        <v>0</v>
      </c>
      <c r="U22" s="4">
        <f t="shared" si="6"/>
        <v>0</v>
      </c>
      <c r="V22" s="18">
        <v>0.82</v>
      </c>
      <c r="W22" s="4">
        <f t="shared" si="7"/>
        <v>0</v>
      </c>
      <c r="X22" s="18">
        <f t="shared" si="9"/>
        <v>1</v>
      </c>
    </row>
    <row r="23" spans="1:24" ht="12.75">
      <c r="A23" s="86" t="s">
        <v>422</v>
      </c>
      <c r="B23" s="409">
        <v>316</v>
      </c>
      <c r="C23" s="407"/>
      <c r="D23" s="409">
        <v>159</v>
      </c>
      <c r="E23" s="4">
        <f t="shared" si="0"/>
        <v>157</v>
      </c>
      <c r="F23" s="18">
        <v>0.35</v>
      </c>
      <c r="G23" s="4">
        <f t="shared" si="1"/>
        <v>55.65</v>
      </c>
      <c r="H23" s="4">
        <f t="shared" si="2"/>
        <v>212.65</v>
      </c>
      <c r="I23" s="18">
        <v>0.82</v>
      </c>
      <c r="J23" s="4">
        <f t="shared" si="3"/>
        <v>174.373</v>
      </c>
      <c r="K23" s="18">
        <f t="shared" si="8"/>
        <v>0.5518132911392405</v>
      </c>
      <c r="L23" s="303">
        <f t="shared" si="10"/>
        <v>38.277000000000015</v>
      </c>
      <c r="M23" s="303"/>
      <c r="N23" s="86" t="s">
        <v>422</v>
      </c>
      <c r="O23" s="215">
        <v>0</v>
      </c>
      <c r="P23" s="215"/>
      <c r="Q23" s="215">
        <v>0</v>
      </c>
      <c r="R23" s="4">
        <f t="shared" si="4"/>
        <v>0</v>
      </c>
      <c r="S23" s="18">
        <v>0.35</v>
      </c>
      <c r="T23" s="4">
        <f t="shared" si="5"/>
        <v>0</v>
      </c>
      <c r="U23" s="4">
        <f t="shared" si="6"/>
        <v>0</v>
      </c>
      <c r="V23" s="18">
        <v>0.82</v>
      </c>
      <c r="W23" s="4">
        <f t="shared" si="7"/>
        <v>0</v>
      </c>
      <c r="X23" s="18">
        <f t="shared" si="9"/>
        <v>1</v>
      </c>
    </row>
    <row r="24" spans="1:24" ht="12.75">
      <c r="A24" s="86" t="s">
        <v>423</v>
      </c>
      <c r="B24" s="409">
        <v>16085</v>
      </c>
      <c r="C24" s="407"/>
      <c r="D24" s="409">
        <v>3349</v>
      </c>
      <c r="E24" s="4">
        <f t="shared" si="0"/>
        <v>12736</v>
      </c>
      <c r="F24" s="18">
        <v>0.35</v>
      </c>
      <c r="G24" s="4">
        <f t="shared" si="1"/>
        <v>1172.1499999999999</v>
      </c>
      <c r="H24" s="4">
        <f t="shared" si="2"/>
        <v>13908.15</v>
      </c>
      <c r="I24" s="18">
        <v>0.82</v>
      </c>
      <c r="J24" s="4">
        <f t="shared" si="3"/>
        <v>11404.682999999999</v>
      </c>
      <c r="K24" s="18">
        <f t="shared" si="8"/>
        <v>0.709025986944358</v>
      </c>
      <c r="L24" s="303">
        <f t="shared" si="10"/>
        <v>2503.4670000000006</v>
      </c>
      <c r="M24" s="303"/>
      <c r="N24" s="86" t="s">
        <v>423</v>
      </c>
      <c r="O24" s="215">
        <v>0</v>
      </c>
      <c r="P24" s="215"/>
      <c r="Q24" s="215">
        <v>0</v>
      </c>
      <c r="R24" s="4">
        <f t="shared" si="4"/>
        <v>0</v>
      </c>
      <c r="S24" s="18">
        <v>0.35</v>
      </c>
      <c r="T24" s="4">
        <f t="shared" si="5"/>
        <v>0</v>
      </c>
      <c r="U24" s="4">
        <f t="shared" si="6"/>
        <v>0</v>
      </c>
      <c r="V24" s="18">
        <v>0.82</v>
      </c>
      <c r="W24" s="4">
        <f t="shared" si="7"/>
        <v>0</v>
      </c>
      <c r="X24" s="18">
        <f t="shared" si="9"/>
        <v>1</v>
      </c>
    </row>
    <row r="25" spans="1:24" ht="25.5">
      <c r="A25" s="86" t="s">
        <v>424</v>
      </c>
      <c r="B25" s="409">
        <v>576</v>
      </c>
      <c r="C25" s="407"/>
      <c r="D25" s="409">
        <v>152</v>
      </c>
      <c r="E25" s="4">
        <f t="shared" si="0"/>
        <v>424</v>
      </c>
      <c r="F25" s="18">
        <v>0.35</v>
      </c>
      <c r="G25" s="4">
        <f t="shared" si="1"/>
        <v>53.199999999999996</v>
      </c>
      <c r="H25" s="4">
        <f t="shared" si="2"/>
        <v>477.2</v>
      </c>
      <c r="I25" s="18">
        <v>0.82</v>
      </c>
      <c r="J25" s="4">
        <f t="shared" si="3"/>
        <v>391.304</v>
      </c>
      <c r="K25" s="18">
        <f t="shared" si="8"/>
        <v>0.6793472222222222</v>
      </c>
      <c r="L25" s="303">
        <f t="shared" si="10"/>
        <v>85.89600000000002</v>
      </c>
      <c r="M25" s="303"/>
      <c r="N25" s="86" t="s">
        <v>424</v>
      </c>
      <c r="O25" s="215">
        <v>0</v>
      </c>
      <c r="P25" s="215"/>
      <c r="Q25" s="215">
        <v>0</v>
      </c>
      <c r="R25" s="4">
        <f t="shared" si="4"/>
        <v>0</v>
      </c>
      <c r="S25" s="18">
        <v>0.35</v>
      </c>
      <c r="T25" s="4">
        <f t="shared" si="5"/>
        <v>0</v>
      </c>
      <c r="U25" s="4">
        <f t="shared" si="6"/>
        <v>0</v>
      </c>
      <c r="V25" s="18">
        <v>0.82</v>
      </c>
      <c r="W25" s="4">
        <f t="shared" si="7"/>
        <v>0</v>
      </c>
      <c r="X25" s="18">
        <f t="shared" si="9"/>
        <v>1</v>
      </c>
    </row>
    <row r="26" spans="1:24" ht="12.75">
      <c r="A26" s="202" t="s">
        <v>425</v>
      </c>
      <c r="B26" s="409">
        <v>2217</v>
      </c>
      <c r="C26" s="407"/>
      <c r="D26" s="409">
        <v>827</v>
      </c>
      <c r="E26" s="203">
        <f t="shared" si="0"/>
        <v>1390</v>
      </c>
      <c r="F26" s="204">
        <v>0.3</v>
      </c>
      <c r="G26" s="203">
        <f t="shared" si="1"/>
        <v>248.1</v>
      </c>
      <c r="H26" s="203">
        <f t="shared" si="2"/>
        <v>1638.1</v>
      </c>
      <c r="I26" s="204">
        <v>0.82</v>
      </c>
      <c r="J26" s="203">
        <f t="shared" si="3"/>
        <v>1343.2419999999997</v>
      </c>
      <c r="K26" s="204">
        <f t="shared" si="8"/>
        <v>0.6058827244023454</v>
      </c>
      <c r="L26" s="303">
        <f t="shared" si="10"/>
        <v>294.8580000000002</v>
      </c>
      <c r="M26" s="303"/>
      <c r="N26" s="202" t="s">
        <v>425</v>
      </c>
      <c r="O26" s="215">
        <v>2217</v>
      </c>
      <c r="P26" s="215"/>
      <c r="Q26" s="215">
        <v>827</v>
      </c>
      <c r="R26" s="203">
        <f t="shared" si="4"/>
        <v>1390</v>
      </c>
      <c r="S26" s="204">
        <v>0.3</v>
      </c>
      <c r="T26" s="203">
        <f t="shared" si="5"/>
        <v>248.1</v>
      </c>
      <c r="U26" s="203">
        <f t="shared" si="6"/>
        <v>1638.1</v>
      </c>
      <c r="V26" s="204">
        <v>0.82</v>
      </c>
      <c r="W26" s="203">
        <f t="shared" si="7"/>
        <v>1343.2419999999997</v>
      </c>
      <c r="X26" s="204">
        <f t="shared" si="9"/>
        <v>0.6058827244023454</v>
      </c>
    </row>
    <row r="27" spans="1:24" ht="12.75">
      <c r="A27" s="86" t="s">
        <v>426</v>
      </c>
      <c r="B27" s="409">
        <v>5666</v>
      </c>
      <c r="C27" s="407"/>
      <c r="D27" s="409">
        <v>1060</v>
      </c>
      <c r="E27" s="4">
        <f t="shared" si="0"/>
        <v>4606</v>
      </c>
      <c r="F27" s="18">
        <v>0.31</v>
      </c>
      <c r="G27" s="4">
        <f t="shared" si="1"/>
        <v>328.6</v>
      </c>
      <c r="H27" s="4">
        <f t="shared" si="2"/>
        <v>4934.6</v>
      </c>
      <c r="I27" s="18">
        <v>0.82</v>
      </c>
      <c r="J27" s="4">
        <f t="shared" si="3"/>
        <v>4046.372</v>
      </c>
      <c r="K27" s="18">
        <f t="shared" si="8"/>
        <v>0.7141496646664314</v>
      </c>
      <c r="L27" s="303">
        <f t="shared" si="10"/>
        <v>888.2280000000005</v>
      </c>
      <c r="M27" s="303"/>
      <c r="N27" s="86" t="s">
        <v>426</v>
      </c>
      <c r="O27" s="215">
        <v>0</v>
      </c>
      <c r="P27" s="215"/>
      <c r="Q27" s="215">
        <v>0</v>
      </c>
      <c r="R27" s="4">
        <f t="shared" si="4"/>
        <v>0</v>
      </c>
      <c r="S27" s="18">
        <v>0.31</v>
      </c>
      <c r="T27" s="4">
        <f t="shared" si="5"/>
        <v>0</v>
      </c>
      <c r="U27" s="4">
        <f t="shared" si="6"/>
        <v>0</v>
      </c>
      <c r="V27" s="18">
        <v>0.82</v>
      </c>
      <c r="W27" s="4">
        <f t="shared" si="7"/>
        <v>0</v>
      </c>
      <c r="X27" s="18">
        <f t="shared" si="9"/>
        <v>1</v>
      </c>
    </row>
    <row r="28" spans="1:24" ht="25.5">
      <c r="A28" s="86" t="s">
        <v>448</v>
      </c>
      <c r="B28" s="409">
        <v>0</v>
      </c>
      <c r="C28" s="407"/>
      <c r="D28" s="409">
        <v>0</v>
      </c>
      <c r="E28" s="4">
        <f>B28-D28</f>
        <v>0</v>
      </c>
      <c r="F28" s="18">
        <v>0.23</v>
      </c>
      <c r="G28" s="4">
        <f>D28*F28</f>
        <v>0</v>
      </c>
      <c r="H28" s="4">
        <f>E28+G28</f>
        <v>0</v>
      </c>
      <c r="I28" s="18">
        <v>0.82</v>
      </c>
      <c r="J28" s="4">
        <f>H28*I28</f>
        <v>0</v>
      </c>
      <c r="K28" s="18">
        <f>IF(B28&gt;0,J28/B28,1)</f>
        <v>1</v>
      </c>
      <c r="L28" s="303">
        <f t="shared" si="10"/>
        <v>0</v>
      </c>
      <c r="M28" s="303"/>
      <c r="N28" s="86" t="s">
        <v>448</v>
      </c>
      <c r="O28" s="215">
        <v>0</v>
      </c>
      <c r="P28" s="215"/>
      <c r="Q28" s="215">
        <v>0</v>
      </c>
      <c r="R28" s="4">
        <f>O28-Q28</f>
        <v>0</v>
      </c>
      <c r="S28" s="18">
        <v>0.23</v>
      </c>
      <c r="T28" s="4">
        <f>Q28*S28</f>
        <v>0</v>
      </c>
      <c r="U28" s="4">
        <f>R28+T28</f>
        <v>0</v>
      </c>
      <c r="V28" s="18">
        <v>0.82</v>
      </c>
      <c r="W28" s="4">
        <f>U28*V28</f>
        <v>0</v>
      </c>
      <c r="X28" s="18">
        <f>IF(O28&gt;0,W28/O28,1)</f>
        <v>1</v>
      </c>
    </row>
    <row r="29" spans="1:24" ht="39.75" customHeight="1">
      <c r="A29" s="86" t="s">
        <v>449</v>
      </c>
      <c r="B29" s="409">
        <v>17433</v>
      </c>
      <c r="C29" s="407"/>
      <c r="D29" s="409">
        <v>4609</v>
      </c>
      <c r="E29" s="4">
        <f t="shared" si="0"/>
        <v>12824</v>
      </c>
      <c r="F29" s="18">
        <v>0.23</v>
      </c>
      <c r="G29" s="4">
        <f t="shared" si="1"/>
        <v>1060.07</v>
      </c>
      <c r="H29" s="4">
        <f t="shared" si="2"/>
        <v>13884.07</v>
      </c>
      <c r="I29" s="18">
        <v>0.82</v>
      </c>
      <c r="J29" s="4">
        <f t="shared" si="3"/>
        <v>11384.937399999999</v>
      </c>
      <c r="K29" s="18">
        <f t="shared" si="8"/>
        <v>0.6530681695634715</v>
      </c>
      <c r="L29" s="303">
        <f t="shared" si="10"/>
        <v>2499.132600000001</v>
      </c>
      <c r="M29" s="303"/>
      <c r="N29" s="86" t="s">
        <v>449</v>
      </c>
      <c r="O29" s="216">
        <v>17433</v>
      </c>
      <c r="P29" s="215"/>
      <c r="Q29" s="216">
        <v>4609</v>
      </c>
      <c r="R29" s="4">
        <f>O29-Q29</f>
        <v>12824</v>
      </c>
      <c r="S29" s="18">
        <v>0.23</v>
      </c>
      <c r="T29" s="4">
        <f>Q29*S29</f>
        <v>1060.07</v>
      </c>
      <c r="U29" s="4">
        <f>R29+T29</f>
        <v>13884.07</v>
      </c>
      <c r="V29" s="18">
        <v>0.82</v>
      </c>
      <c r="W29" s="4">
        <f>U29*V29</f>
        <v>11384.937399999999</v>
      </c>
      <c r="X29" s="18">
        <f>IF(O29&gt;0,W29/O29,1)</f>
        <v>0.6530681695634715</v>
      </c>
    </row>
    <row r="30" spans="1:24" ht="40.5" customHeight="1">
      <c r="A30" s="86" t="s">
        <v>427</v>
      </c>
      <c r="B30" s="409">
        <v>30016</v>
      </c>
      <c r="C30" s="407"/>
      <c r="D30" s="409">
        <v>13391</v>
      </c>
      <c r="E30" s="4">
        <f t="shared" si="0"/>
        <v>16625</v>
      </c>
      <c r="F30" s="18">
        <v>0.23</v>
      </c>
      <c r="G30" s="4">
        <f t="shared" si="1"/>
        <v>3079.9300000000003</v>
      </c>
      <c r="H30" s="4">
        <f t="shared" si="2"/>
        <v>19704.93</v>
      </c>
      <c r="I30" s="18">
        <v>0.82</v>
      </c>
      <c r="J30" s="4">
        <f t="shared" si="3"/>
        <v>16158.042599999999</v>
      </c>
      <c r="K30" s="18">
        <f t="shared" si="8"/>
        <v>0.5383143190298507</v>
      </c>
      <c r="L30" s="303">
        <f t="shared" si="10"/>
        <v>3546.8874000000014</v>
      </c>
      <c r="M30" s="303"/>
      <c r="N30" s="86" t="s">
        <v>427</v>
      </c>
      <c r="O30" s="215">
        <v>30016</v>
      </c>
      <c r="P30" s="215"/>
      <c r="Q30" s="215">
        <v>13391</v>
      </c>
      <c r="R30" s="4">
        <f>O30-Q30</f>
        <v>16625</v>
      </c>
      <c r="S30" s="18">
        <v>0.23</v>
      </c>
      <c r="T30" s="4">
        <f>Q30*S30</f>
        <v>3079.9300000000003</v>
      </c>
      <c r="U30" s="4">
        <f>R30+T30</f>
        <v>19704.93</v>
      </c>
      <c r="V30" s="18">
        <v>0.82</v>
      </c>
      <c r="W30" s="4">
        <f>U30*V30</f>
        <v>16158.042599999999</v>
      </c>
      <c r="X30" s="18">
        <f>IF(O30&gt;0,W30/O30,1)</f>
        <v>0.5383143190298507</v>
      </c>
    </row>
    <row r="32" spans="1:11" ht="25.5">
      <c r="A32" s="87" t="s">
        <v>428</v>
      </c>
      <c r="B32" s="87"/>
      <c r="C32" s="87"/>
      <c r="D32" s="87"/>
      <c r="E32" s="87"/>
      <c r="F32" s="87"/>
      <c r="G32" s="87"/>
      <c r="H32" s="87"/>
      <c r="I32" s="87"/>
      <c r="J32" s="87"/>
      <c r="K32" s="87"/>
    </row>
    <row r="33" ht="12.75">
      <c r="K33" s="62"/>
    </row>
    <row r="35" ht="12.75">
      <c r="A35" t="s">
        <v>473</v>
      </c>
    </row>
    <row r="37" spans="1:3" ht="12.75">
      <c r="A37" t="s">
        <v>474</v>
      </c>
      <c r="C37" t="s">
        <v>475</v>
      </c>
    </row>
    <row r="38" spans="1:3" ht="12.75">
      <c r="A38" t="s">
        <v>476</v>
      </c>
      <c r="C38" t="s">
        <v>477</v>
      </c>
    </row>
    <row r="39" spans="1:3" ht="12.75">
      <c r="A39" t="s">
        <v>478</v>
      </c>
      <c r="C39" t="s">
        <v>549</v>
      </c>
    </row>
    <row r="40" spans="1:3" ht="12.75">
      <c r="A40" t="s">
        <v>479</v>
      </c>
      <c r="C40" s="62" t="s">
        <v>592</v>
      </c>
    </row>
    <row r="41" spans="1:3" ht="12.75">
      <c r="A41" t="s">
        <v>480</v>
      </c>
      <c r="C41" t="s">
        <v>481</v>
      </c>
    </row>
    <row r="45" ht="12.75">
      <c r="A45" s="62" t="s">
        <v>688</v>
      </c>
    </row>
    <row r="46" spans="1:6" ht="12.75">
      <c r="A46" t="s">
        <v>677</v>
      </c>
      <c r="B46" t="s">
        <v>675</v>
      </c>
      <c r="C46" t="s">
        <v>676</v>
      </c>
      <c r="D46" s="62" t="s">
        <v>686</v>
      </c>
      <c r="E46" s="62" t="s">
        <v>687</v>
      </c>
      <c r="F46" s="62" t="s">
        <v>690</v>
      </c>
    </row>
    <row r="47" spans="1:3" ht="12.75">
      <c r="A47" t="s">
        <v>678</v>
      </c>
      <c r="B47">
        <v>21</v>
      </c>
      <c r="C47" s="33">
        <v>552.349</v>
      </c>
    </row>
    <row r="48" spans="1:6" ht="12.75">
      <c r="A48" t="s">
        <v>421</v>
      </c>
      <c r="B48">
        <v>571</v>
      </c>
      <c r="C48" s="33">
        <v>8233.286000000002</v>
      </c>
      <c r="D48" s="274">
        <f>D22</f>
        <v>8759</v>
      </c>
      <c r="E48" s="430">
        <f>(C48-D48)/D48</f>
        <v>-0.060019865281424604</v>
      </c>
      <c r="F48" s="274">
        <f>L22</f>
        <v>2386.0260000000017</v>
      </c>
    </row>
    <row r="49" spans="1:5" ht="12.75">
      <c r="A49" t="s">
        <v>313</v>
      </c>
      <c r="B49">
        <v>66</v>
      </c>
      <c r="C49" s="33">
        <v>271.938</v>
      </c>
      <c r="E49" s="430"/>
    </row>
    <row r="50" spans="1:6" ht="12.75">
      <c r="A50" t="s">
        <v>423</v>
      </c>
      <c r="B50">
        <v>545</v>
      </c>
      <c r="C50" s="33">
        <v>3495.4280000000003</v>
      </c>
      <c r="D50" s="274">
        <f>D24</f>
        <v>3349</v>
      </c>
      <c r="E50" s="430">
        <f>(C50-D50)/D50</f>
        <v>0.04372290235891321</v>
      </c>
      <c r="F50" s="274">
        <f>L24</f>
        <v>2503.4670000000006</v>
      </c>
    </row>
    <row r="51" spans="1:6" ht="12.75">
      <c r="A51" t="s">
        <v>679</v>
      </c>
      <c r="B51">
        <v>59</v>
      </c>
      <c r="C51" s="33">
        <v>151.46399999999997</v>
      </c>
      <c r="D51" s="274">
        <f>D25</f>
        <v>152</v>
      </c>
      <c r="E51" s="430">
        <f>(C51-D51)/D51</f>
        <v>-0.0035263157894738803</v>
      </c>
      <c r="F51" s="274">
        <f>L25</f>
        <v>85.89600000000002</v>
      </c>
    </row>
    <row r="52" spans="1:5" ht="12.75">
      <c r="A52" t="s">
        <v>680</v>
      </c>
      <c r="B52">
        <v>2</v>
      </c>
      <c r="C52" s="33">
        <v>1.332</v>
      </c>
      <c r="E52" s="430"/>
    </row>
    <row r="53" spans="1:5" ht="12.75">
      <c r="A53" t="s">
        <v>681</v>
      </c>
      <c r="B53">
        <v>60</v>
      </c>
      <c r="C53" s="33">
        <v>5460.151999999999</v>
      </c>
      <c r="E53" s="430"/>
    </row>
    <row r="54" spans="1:5" ht="12.75">
      <c r="A54" t="s">
        <v>682</v>
      </c>
      <c r="B54">
        <v>15</v>
      </c>
      <c r="C54" s="33">
        <v>9.981999999999998</v>
      </c>
      <c r="E54" s="430"/>
    </row>
    <row r="55" spans="1:6" ht="12.75">
      <c r="A55" t="s">
        <v>422</v>
      </c>
      <c r="B55">
        <v>37</v>
      </c>
      <c r="C55" s="33">
        <v>144.98600000000002</v>
      </c>
      <c r="D55" s="274">
        <f>D23</f>
        <v>159</v>
      </c>
      <c r="E55" s="430">
        <f>(C55-D55)/D55</f>
        <v>-0.08813836477987409</v>
      </c>
      <c r="F55" s="274">
        <f>L23</f>
        <v>38.277000000000015</v>
      </c>
    </row>
    <row r="56" spans="1:5" ht="12.75">
      <c r="A56" t="s">
        <v>683</v>
      </c>
      <c r="B56">
        <v>2799</v>
      </c>
      <c r="C56" s="33">
        <v>64035.802000000054</v>
      </c>
      <c r="E56" s="430"/>
    </row>
    <row r="57" spans="1:6" ht="12.75">
      <c r="A57" t="s">
        <v>20</v>
      </c>
      <c r="B57">
        <v>175</v>
      </c>
      <c r="C57" s="33">
        <v>1187.2240000000004</v>
      </c>
      <c r="D57" s="274">
        <f>D20</f>
        <v>1215</v>
      </c>
      <c r="E57" s="430">
        <f>(C57-D57)/D57</f>
        <v>-0.02286090534979392</v>
      </c>
      <c r="F57" s="274">
        <f>L20</f>
        <v>582.9300000000003</v>
      </c>
    </row>
    <row r="58" spans="1:5" ht="12.75">
      <c r="A58" t="s">
        <v>684</v>
      </c>
      <c r="B58">
        <v>2</v>
      </c>
      <c r="C58" s="33">
        <v>85.66799999999999</v>
      </c>
      <c r="E58" s="430"/>
    </row>
    <row r="59" spans="1:5" ht="12.75">
      <c r="A59" t="s">
        <v>685</v>
      </c>
      <c r="B59">
        <v>39</v>
      </c>
      <c r="C59" s="33">
        <v>16721.643000000004</v>
      </c>
      <c r="E59" s="430"/>
    </row>
    <row r="60" spans="1:6" ht="12.75">
      <c r="A60" t="s">
        <v>426</v>
      </c>
      <c r="B60">
        <v>256</v>
      </c>
      <c r="C60" s="33">
        <v>1265.1569999999997</v>
      </c>
      <c r="D60" s="274">
        <f>D27</f>
        <v>1060</v>
      </c>
      <c r="E60" s="430">
        <f>(C60-D60)/D60</f>
        <v>0.19354433962264123</v>
      </c>
      <c r="F60" s="274">
        <f>L27</f>
        <v>888.2280000000005</v>
      </c>
    </row>
    <row r="61" ht="12.75">
      <c r="E61" s="430"/>
    </row>
    <row r="62" spans="1:6" ht="12.75">
      <c r="A62" s="62" t="s">
        <v>689</v>
      </c>
      <c r="B62" s="274">
        <f>B48+B50+B51+B55+B57+B60</f>
        <v>1643</v>
      </c>
      <c r="C62" s="274">
        <f>C48+C50+C51+C55+C57+C60</f>
        <v>14477.545000000002</v>
      </c>
      <c r="D62" s="274">
        <f>D48+D50+D51+D55+D57+D60</f>
        <v>14694</v>
      </c>
      <c r="E62" s="430">
        <f>(C62-D62)/D62</f>
        <v>-0.014730842520756642</v>
      </c>
      <c r="F62" s="274">
        <f>F48+F50+F51+F55+F57+F60</f>
        <v>6484.824000000002</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6.xml><?xml version="1.0" encoding="utf-8"?>
<worksheet xmlns="http://schemas.openxmlformats.org/spreadsheetml/2006/main" xmlns:r="http://schemas.openxmlformats.org/officeDocument/2006/relationships">
  <dimension ref="A1:Q28"/>
  <sheetViews>
    <sheetView zoomScalePageLayoutView="0" workbookViewId="0" topLeftCell="A1">
      <selection activeCell="H4" sqref="H4:K28"/>
    </sheetView>
  </sheetViews>
  <sheetFormatPr defaultColWidth="9.140625" defaultRowHeight="12.75"/>
  <cols>
    <col min="1" max="1" width="20.7109375" style="0" customWidth="1"/>
    <col min="2" max="5" width="10.7109375" style="0" customWidth="1"/>
    <col min="7" max="7" width="20.7109375" style="0" customWidth="1"/>
    <col min="8" max="11" width="10.7109375" style="0" customWidth="1"/>
    <col min="13" max="13" width="20.7109375" style="0" customWidth="1"/>
    <col min="14" max="17" width="10.7109375" style="0" customWidth="1"/>
  </cols>
  <sheetData>
    <row r="1" spans="1:17" ht="20.25">
      <c r="A1" s="454" t="s">
        <v>652</v>
      </c>
      <c r="B1" s="455"/>
      <c r="C1" s="455"/>
      <c r="D1" s="455"/>
      <c r="E1" s="456"/>
      <c r="G1" s="454" t="s">
        <v>653</v>
      </c>
      <c r="H1" s="455"/>
      <c r="I1" s="455"/>
      <c r="J1" s="455"/>
      <c r="K1" s="456"/>
      <c r="M1" s="454" t="s">
        <v>654</v>
      </c>
      <c r="N1" s="455"/>
      <c r="O1" s="455"/>
      <c r="P1" s="455"/>
      <c r="Q1" s="456"/>
    </row>
    <row r="2" spans="1:17" ht="12.75">
      <c r="A2" s="457" t="s">
        <v>256</v>
      </c>
      <c r="B2" s="414" t="s">
        <v>0</v>
      </c>
      <c r="C2" s="414" t="s">
        <v>175</v>
      </c>
      <c r="D2" s="414" t="s">
        <v>1</v>
      </c>
      <c r="E2" s="414" t="s">
        <v>1</v>
      </c>
      <c r="G2" s="459" t="s">
        <v>256</v>
      </c>
      <c r="H2" s="76" t="s">
        <v>0</v>
      </c>
      <c r="I2" s="76" t="s">
        <v>175</v>
      </c>
      <c r="J2" s="76" t="s">
        <v>1</v>
      </c>
      <c r="K2" s="76" t="s">
        <v>1</v>
      </c>
      <c r="M2" s="457" t="s">
        <v>256</v>
      </c>
      <c r="N2" s="414" t="s">
        <v>0</v>
      </c>
      <c r="O2" s="414" t="s">
        <v>175</v>
      </c>
      <c r="P2" s="414" t="s">
        <v>1</v>
      </c>
      <c r="Q2" s="414" t="s">
        <v>1</v>
      </c>
    </row>
    <row r="3" spans="1:17" ht="12.75">
      <c r="A3" s="458"/>
      <c r="B3" s="415" t="s">
        <v>257</v>
      </c>
      <c r="C3" s="415" t="s">
        <v>257</v>
      </c>
      <c r="D3" s="415" t="s">
        <v>257</v>
      </c>
      <c r="E3" s="415" t="s">
        <v>258</v>
      </c>
      <c r="G3" s="460"/>
      <c r="H3" s="77" t="s">
        <v>257</v>
      </c>
      <c r="I3" s="77" t="s">
        <v>257</v>
      </c>
      <c r="J3" s="77" t="s">
        <v>257</v>
      </c>
      <c r="K3" s="77" t="s">
        <v>258</v>
      </c>
      <c r="M3" s="458"/>
      <c r="N3" s="415" t="s">
        <v>257</v>
      </c>
      <c r="O3" s="415" t="s">
        <v>257</v>
      </c>
      <c r="P3" s="415" t="s">
        <v>257</v>
      </c>
      <c r="Q3" s="415" t="s">
        <v>258</v>
      </c>
    </row>
    <row r="4" spans="1:17" ht="12.75">
      <c r="A4" s="416" t="s">
        <v>15</v>
      </c>
      <c r="B4" s="417">
        <v>1419</v>
      </c>
      <c r="C4" s="417">
        <v>93</v>
      </c>
      <c r="D4" s="417">
        <v>127</v>
      </c>
      <c r="E4" s="417">
        <v>0</v>
      </c>
      <c r="G4" s="78" t="s">
        <v>15</v>
      </c>
      <c r="H4" s="358">
        <v>1419</v>
      </c>
      <c r="I4" s="358">
        <v>93</v>
      </c>
      <c r="J4" s="358">
        <v>128</v>
      </c>
      <c r="K4" s="358">
        <v>0</v>
      </c>
      <c r="M4" s="416" t="s">
        <v>15</v>
      </c>
      <c r="N4" s="417">
        <f>B4-H4</f>
        <v>0</v>
      </c>
      <c r="O4" s="417">
        <f aca="true" t="shared" si="0" ref="O4:O28">C4-I4</f>
        <v>0</v>
      </c>
      <c r="P4" s="417">
        <f aca="true" t="shared" si="1" ref="P4:P28">D4-J4</f>
        <v>-1</v>
      </c>
      <c r="Q4" s="417">
        <f aca="true" t="shared" si="2" ref="Q4:Q28">E4-K4</f>
        <v>0</v>
      </c>
    </row>
    <row r="5" spans="1:17" ht="12.75">
      <c r="A5" s="416" t="s">
        <v>22</v>
      </c>
      <c r="B5" s="417">
        <v>0</v>
      </c>
      <c r="C5" s="417">
        <v>6768</v>
      </c>
      <c r="D5" s="417">
        <v>5892</v>
      </c>
      <c r="E5" s="417">
        <v>0</v>
      </c>
      <c r="G5" s="78" t="s">
        <v>22</v>
      </c>
      <c r="H5" s="358">
        <v>0</v>
      </c>
      <c r="I5" s="358">
        <v>6768</v>
      </c>
      <c r="J5" s="358">
        <v>5892</v>
      </c>
      <c r="K5" s="358">
        <v>0</v>
      </c>
      <c r="M5" s="416" t="s">
        <v>22</v>
      </c>
      <c r="N5" s="417">
        <f aca="true" t="shared" si="3" ref="N5:N28">B5-H5</f>
        <v>0</v>
      </c>
      <c r="O5" s="417">
        <f t="shared" si="0"/>
        <v>0</v>
      </c>
      <c r="P5" s="417">
        <f t="shared" si="1"/>
        <v>0</v>
      </c>
      <c r="Q5" s="417">
        <f t="shared" si="2"/>
        <v>0</v>
      </c>
    </row>
    <row r="6" spans="1:17" ht="12.75">
      <c r="A6" s="416" t="s">
        <v>16</v>
      </c>
      <c r="B6" s="417">
        <v>354</v>
      </c>
      <c r="C6" s="417">
        <v>0</v>
      </c>
      <c r="D6" s="417">
        <v>3298</v>
      </c>
      <c r="E6" s="417">
        <v>0</v>
      </c>
      <c r="G6" s="78" t="s">
        <v>16</v>
      </c>
      <c r="H6" s="358">
        <v>354</v>
      </c>
      <c r="I6" s="358">
        <v>0</v>
      </c>
      <c r="J6" s="358">
        <v>3298</v>
      </c>
      <c r="K6" s="358">
        <v>0</v>
      </c>
      <c r="M6" s="416" t="s">
        <v>16</v>
      </c>
      <c r="N6" s="417">
        <f t="shared" si="3"/>
        <v>0</v>
      </c>
      <c r="O6" s="417">
        <f t="shared" si="0"/>
        <v>0</v>
      </c>
      <c r="P6" s="417">
        <f t="shared" si="1"/>
        <v>0</v>
      </c>
      <c r="Q6" s="417">
        <f t="shared" si="2"/>
        <v>0</v>
      </c>
    </row>
    <row r="7" spans="1:17" ht="12.75">
      <c r="A7" s="416" t="s">
        <v>19</v>
      </c>
      <c r="B7" s="417">
        <v>0</v>
      </c>
      <c r="C7" s="417">
        <v>0</v>
      </c>
      <c r="D7" s="417">
        <v>1288</v>
      </c>
      <c r="E7" s="417">
        <v>0</v>
      </c>
      <c r="G7" s="78" t="s">
        <v>19</v>
      </c>
      <c r="H7" s="358">
        <v>0</v>
      </c>
      <c r="I7" s="358">
        <v>0</v>
      </c>
      <c r="J7" s="358">
        <v>1288</v>
      </c>
      <c r="K7" s="358">
        <v>0</v>
      </c>
      <c r="M7" s="416" t="s">
        <v>19</v>
      </c>
      <c r="N7" s="417">
        <f t="shared" si="3"/>
        <v>0</v>
      </c>
      <c r="O7" s="417">
        <f t="shared" si="0"/>
        <v>0</v>
      </c>
      <c r="P7" s="417">
        <f t="shared" si="1"/>
        <v>0</v>
      </c>
      <c r="Q7" s="417">
        <f t="shared" si="2"/>
        <v>0</v>
      </c>
    </row>
    <row r="8" spans="1:17" ht="12.75">
      <c r="A8" s="416" t="s">
        <v>18</v>
      </c>
      <c r="B8" s="417">
        <v>345</v>
      </c>
      <c r="C8" s="417">
        <v>0</v>
      </c>
      <c r="D8" s="417">
        <v>74330</v>
      </c>
      <c r="E8" s="417">
        <v>0</v>
      </c>
      <c r="G8" s="78" t="s">
        <v>18</v>
      </c>
      <c r="H8" s="358">
        <v>345</v>
      </c>
      <c r="I8" s="358">
        <v>0</v>
      </c>
      <c r="J8" s="358">
        <v>74330</v>
      </c>
      <c r="K8" s="358">
        <v>0</v>
      </c>
      <c r="M8" s="416" t="s">
        <v>18</v>
      </c>
      <c r="N8" s="417">
        <f t="shared" si="3"/>
        <v>0</v>
      </c>
      <c r="O8" s="417">
        <f t="shared" si="0"/>
        <v>0</v>
      </c>
      <c r="P8" s="417">
        <f t="shared" si="1"/>
        <v>0</v>
      </c>
      <c r="Q8" s="417">
        <f t="shared" si="2"/>
        <v>0</v>
      </c>
    </row>
    <row r="9" spans="1:17" ht="12.75">
      <c r="A9" s="416" t="s">
        <v>14</v>
      </c>
      <c r="B9" s="417">
        <v>14959</v>
      </c>
      <c r="C9" s="417">
        <v>24</v>
      </c>
      <c r="D9" s="417">
        <v>1471</v>
      </c>
      <c r="E9" s="417">
        <v>0</v>
      </c>
      <c r="G9" s="78" t="s">
        <v>14</v>
      </c>
      <c r="H9" s="358">
        <v>14946</v>
      </c>
      <c r="I9" s="358">
        <v>24</v>
      </c>
      <c r="J9" s="358">
        <v>1471</v>
      </c>
      <c r="K9" s="358">
        <v>0</v>
      </c>
      <c r="M9" s="416" t="s">
        <v>14</v>
      </c>
      <c r="N9" s="417">
        <f t="shared" si="3"/>
        <v>13</v>
      </c>
      <c r="O9" s="417">
        <f t="shared" si="0"/>
        <v>0</v>
      </c>
      <c r="P9" s="417">
        <f t="shared" si="1"/>
        <v>0</v>
      </c>
      <c r="Q9" s="417">
        <f t="shared" si="2"/>
        <v>0</v>
      </c>
    </row>
    <row r="10" spans="1:17" ht="12.75">
      <c r="A10" s="416" t="s">
        <v>259</v>
      </c>
      <c r="B10" s="417">
        <v>-2187</v>
      </c>
      <c r="C10" s="417">
        <v>122</v>
      </c>
      <c r="D10" s="417">
        <v>9368</v>
      </c>
      <c r="E10" s="417">
        <v>0</v>
      </c>
      <c r="G10" s="78" t="s">
        <v>259</v>
      </c>
      <c r="H10" s="358">
        <v>-2181</v>
      </c>
      <c r="I10" s="358">
        <v>122</v>
      </c>
      <c r="J10" s="358">
        <v>9370</v>
      </c>
      <c r="K10" s="358">
        <v>0</v>
      </c>
      <c r="M10" s="416" t="s">
        <v>259</v>
      </c>
      <c r="N10" s="417">
        <f t="shared" si="3"/>
        <v>-6</v>
      </c>
      <c r="O10" s="417">
        <f t="shared" si="0"/>
        <v>0</v>
      </c>
      <c r="P10" s="417">
        <f t="shared" si="1"/>
        <v>-2</v>
      </c>
      <c r="Q10" s="417">
        <f t="shared" si="2"/>
        <v>0</v>
      </c>
    </row>
    <row r="11" spans="1:17" ht="12.75">
      <c r="A11" s="416" t="s">
        <v>260</v>
      </c>
      <c r="B11" s="417">
        <v>-13</v>
      </c>
      <c r="C11" s="417">
        <v>126</v>
      </c>
      <c r="D11" s="417">
        <v>45949</v>
      </c>
      <c r="E11" s="417">
        <v>15096</v>
      </c>
      <c r="G11" s="78" t="s">
        <v>260</v>
      </c>
      <c r="H11" s="358">
        <v>-13</v>
      </c>
      <c r="I11" s="358">
        <v>126</v>
      </c>
      <c r="J11" s="358">
        <v>45949</v>
      </c>
      <c r="K11" s="358">
        <v>15096</v>
      </c>
      <c r="M11" s="416" t="s">
        <v>260</v>
      </c>
      <c r="N11" s="417">
        <f t="shared" si="3"/>
        <v>0</v>
      </c>
      <c r="O11" s="417">
        <f t="shared" si="0"/>
        <v>0</v>
      </c>
      <c r="P11" s="417">
        <f t="shared" si="1"/>
        <v>0</v>
      </c>
      <c r="Q11" s="417">
        <f t="shared" si="2"/>
        <v>0</v>
      </c>
    </row>
    <row r="12" spans="1:17" ht="12.75">
      <c r="A12" s="416" t="s">
        <v>261</v>
      </c>
      <c r="B12" s="417">
        <v>0</v>
      </c>
      <c r="C12" s="417">
        <v>0</v>
      </c>
      <c r="D12" s="417">
        <v>24975</v>
      </c>
      <c r="E12" s="417">
        <v>287</v>
      </c>
      <c r="G12" s="78" t="s">
        <v>261</v>
      </c>
      <c r="H12" s="358">
        <v>0</v>
      </c>
      <c r="I12" s="358">
        <v>0</v>
      </c>
      <c r="J12" s="358">
        <v>24975</v>
      </c>
      <c r="K12" s="358">
        <v>287</v>
      </c>
      <c r="M12" s="416" t="s">
        <v>261</v>
      </c>
      <c r="N12" s="417">
        <f t="shared" si="3"/>
        <v>0</v>
      </c>
      <c r="O12" s="417">
        <f t="shared" si="0"/>
        <v>0</v>
      </c>
      <c r="P12" s="417">
        <f t="shared" si="1"/>
        <v>0</v>
      </c>
      <c r="Q12" s="417">
        <f t="shared" si="2"/>
        <v>0</v>
      </c>
    </row>
    <row r="13" spans="1:17" ht="12.75">
      <c r="A13" s="416" t="s">
        <v>262</v>
      </c>
      <c r="B13" s="417">
        <v>0</v>
      </c>
      <c r="C13" s="417">
        <v>44</v>
      </c>
      <c r="D13" s="417">
        <v>1815</v>
      </c>
      <c r="E13" s="417">
        <v>0</v>
      </c>
      <c r="G13" s="78" t="s">
        <v>262</v>
      </c>
      <c r="H13" s="358">
        <v>0</v>
      </c>
      <c r="I13" s="358">
        <v>44</v>
      </c>
      <c r="J13" s="358">
        <v>1815</v>
      </c>
      <c r="K13" s="358">
        <v>0</v>
      </c>
      <c r="M13" s="416" t="s">
        <v>262</v>
      </c>
      <c r="N13" s="417">
        <f t="shared" si="3"/>
        <v>0</v>
      </c>
      <c r="O13" s="417">
        <f t="shared" si="0"/>
        <v>0</v>
      </c>
      <c r="P13" s="417">
        <f t="shared" si="1"/>
        <v>0</v>
      </c>
      <c r="Q13" s="417">
        <f t="shared" si="2"/>
        <v>0</v>
      </c>
    </row>
    <row r="14" spans="1:17" ht="12.75">
      <c r="A14" s="416" t="s">
        <v>21</v>
      </c>
      <c r="B14" s="417">
        <v>0</v>
      </c>
      <c r="C14" s="417">
        <v>0</v>
      </c>
      <c r="D14" s="417">
        <v>19155</v>
      </c>
      <c r="E14" s="417">
        <v>10381</v>
      </c>
      <c r="G14" s="78" t="s">
        <v>21</v>
      </c>
      <c r="H14" s="358">
        <v>0</v>
      </c>
      <c r="I14" s="358">
        <v>0</v>
      </c>
      <c r="J14" s="358">
        <v>19155</v>
      </c>
      <c r="K14" s="358">
        <v>10381</v>
      </c>
      <c r="M14" s="416" t="s">
        <v>21</v>
      </c>
      <c r="N14" s="417">
        <f t="shared" si="3"/>
        <v>0</v>
      </c>
      <c r="O14" s="417">
        <f t="shared" si="0"/>
        <v>0</v>
      </c>
      <c r="P14" s="417">
        <f t="shared" si="1"/>
        <v>0</v>
      </c>
      <c r="Q14" s="417">
        <f t="shared" si="2"/>
        <v>0</v>
      </c>
    </row>
    <row r="15" spans="1:17" ht="12.75">
      <c r="A15" s="416" t="s">
        <v>24</v>
      </c>
      <c r="B15" s="417">
        <v>0</v>
      </c>
      <c r="C15" s="417">
        <v>9133</v>
      </c>
      <c r="D15" s="417">
        <v>25</v>
      </c>
      <c r="E15" s="417">
        <v>0</v>
      </c>
      <c r="G15" s="78" t="s">
        <v>24</v>
      </c>
      <c r="H15" s="358">
        <v>0</v>
      </c>
      <c r="I15" s="358">
        <v>9133</v>
      </c>
      <c r="J15" s="358">
        <v>25</v>
      </c>
      <c r="K15" s="358">
        <v>0</v>
      </c>
      <c r="M15" s="416" t="s">
        <v>24</v>
      </c>
      <c r="N15" s="417">
        <f t="shared" si="3"/>
        <v>0</v>
      </c>
      <c r="O15" s="417">
        <f t="shared" si="0"/>
        <v>0</v>
      </c>
      <c r="P15" s="417">
        <f t="shared" si="1"/>
        <v>0</v>
      </c>
      <c r="Q15" s="417">
        <f t="shared" si="2"/>
        <v>0</v>
      </c>
    </row>
    <row r="16" spans="1:17" ht="12.75">
      <c r="A16" s="416" t="s">
        <v>20</v>
      </c>
      <c r="B16" s="417">
        <v>0</v>
      </c>
      <c r="C16" s="417">
        <v>0</v>
      </c>
      <c r="D16" s="417">
        <v>7335</v>
      </c>
      <c r="E16" s="417">
        <v>42</v>
      </c>
      <c r="G16" s="78" t="s">
        <v>20</v>
      </c>
      <c r="H16" s="358">
        <v>0</v>
      </c>
      <c r="I16" s="358">
        <v>0</v>
      </c>
      <c r="J16" s="358">
        <v>7335</v>
      </c>
      <c r="K16" s="358">
        <v>42</v>
      </c>
      <c r="M16" s="416" t="s">
        <v>20</v>
      </c>
      <c r="N16" s="417">
        <f t="shared" si="3"/>
        <v>0</v>
      </c>
      <c r="O16" s="417">
        <f t="shared" si="0"/>
        <v>0</v>
      </c>
      <c r="P16" s="417">
        <f t="shared" si="1"/>
        <v>0</v>
      </c>
      <c r="Q16" s="417">
        <f t="shared" si="2"/>
        <v>0</v>
      </c>
    </row>
    <row r="17" spans="1:17" ht="12.75">
      <c r="A17" s="416" t="s">
        <v>5</v>
      </c>
      <c r="B17" s="417">
        <v>75</v>
      </c>
      <c r="C17" s="417">
        <v>0</v>
      </c>
      <c r="D17" s="417">
        <v>4124</v>
      </c>
      <c r="E17" s="417">
        <v>0</v>
      </c>
      <c r="G17" s="78" t="s">
        <v>5</v>
      </c>
      <c r="H17" s="358">
        <v>75</v>
      </c>
      <c r="I17" s="358">
        <v>0</v>
      </c>
      <c r="J17" s="358">
        <v>4124</v>
      </c>
      <c r="K17" s="358">
        <v>0</v>
      </c>
      <c r="M17" s="416" t="s">
        <v>5</v>
      </c>
      <c r="N17" s="417">
        <f t="shared" si="3"/>
        <v>0</v>
      </c>
      <c r="O17" s="417">
        <f t="shared" si="0"/>
        <v>0</v>
      </c>
      <c r="P17" s="417">
        <f t="shared" si="1"/>
        <v>0</v>
      </c>
      <c r="Q17" s="417">
        <f t="shared" si="2"/>
        <v>0</v>
      </c>
    </row>
    <row r="18" spans="1:17" ht="12.75">
      <c r="A18" s="416" t="s">
        <v>23</v>
      </c>
      <c r="B18" s="417">
        <v>0</v>
      </c>
      <c r="C18" s="417">
        <v>2155</v>
      </c>
      <c r="D18" s="417">
        <v>2991</v>
      </c>
      <c r="E18" s="417">
        <v>0</v>
      </c>
      <c r="G18" s="78" t="s">
        <v>23</v>
      </c>
      <c r="H18" s="358">
        <v>0</v>
      </c>
      <c r="I18" s="358">
        <v>2155</v>
      </c>
      <c r="J18" s="358">
        <v>2991</v>
      </c>
      <c r="K18" s="358">
        <v>0</v>
      </c>
      <c r="M18" s="416" t="s">
        <v>23</v>
      </c>
      <c r="N18" s="417">
        <f t="shared" si="3"/>
        <v>0</v>
      </c>
      <c r="O18" s="417">
        <f t="shared" si="0"/>
        <v>0</v>
      </c>
      <c r="P18" s="417">
        <f t="shared" si="1"/>
        <v>0</v>
      </c>
      <c r="Q18" s="417">
        <f t="shared" si="2"/>
        <v>0</v>
      </c>
    </row>
    <row r="19" spans="1:17" ht="12.75">
      <c r="A19" s="416" t="s">
        <v>17</v>
      </c>
      <c r="B19" s="417">
        <v>11616</v>
      </c>
      <c r="C19" s="417">
        <v>5750</v>
      </c>
      <c r="D19" s="417">
        <v>1030</v>
      </c>
      <c r="E19" s="417">
        <v>0</v>
      </c>
      <c r="G19" s="78" t="s">
        <v>17</v>
      </c>
      <c r="H19" s="358">
        <v>11613</v>
      </c>
      <c r="I19" s="358">
        <v>5748</v>
      </c>
      <c r="J19" s="358">
        <v>1030</v>
      </c>
      <c r="K19" s="358">
        <v>0</v>
      </c>
      <c r="M19" s="416" t="s">
        <v>17</v>
      </c>
      <c r="N19" s="417">
        <f t="shared" si="3"/>
        <v>3</v>
      </c>
      <c r="O19" s="417">
        <f t="shared" si="0"/>
        <v>2</v>
      </c>
      <c r="P19" s="417">
        <f t="shared" si="1"/>
        <v>0</v>
      </c>
      <c r="Q19" s="417">
        <f t="shared" si="2"/>
        <v>0</v>
      </c>
    </row>
    <row r="20" spans="1:17" ht="12.75">
      <c r="A20" s="416" t="s">
        <v>263</v>
      </c>
      <c r="B20" s="417">
        <v>0</v>
      </c>
      <c r="C20" s="417">
        <v>0</v>
      </c>
      <c r="D20" s="417">
        <v>1671</v>
      </c>
      <c r="E20" s="417">
        <v>0</v>
      </c>
      <c r="G20" s="78" t="s">
        <v>263</v>
      </c>
      <c r="H20" s="358">
        <v>0</v>
      </c>
      <c r="I20" s="358">
        <v>0</v>
      </c>
      <c r="J20" s="358">
        <v>1671</v>
      </c>
      <c r="K20" s="358">
        <v>0</v>
      </c>
      <c r="M20" s="416" t="s">
        <v>263</v>
      </c>
      <c r="N20" s="417">
        <f t="shared" si="3"/>
        <v>0</v>
      </c>
      <c r="O20" s="417">
        <f t="shared" si="0"/>
        <v>0</v>
      </c>
      <c r="P20" s="417">
        <f t="shared" si="1"/>
        <v>0</v>
      </c>
      <c r="Q20" s="417">
        <f t="shared" si="2"/>
        <v>0</v>
      </c>
    </row>
    <row r="21" spans="1:17" ht="12.75">
      <c r="A21" s="416" t="s">
        <v>264</v>
      </c>
      <c r="B21" s="417">
        <v>1279</v>
      </c>
      <c r="C21" s="417">
        <v>0</v>
      </c>
      <c r="D21" s="417">
        <v>0</v>
      </c>
      <c r="E21" s="417">
        <v>0</v>
      </c>
      <c r="G21" s="78" t="s">
        <v>264</v>
      </c>
      <c r="H21" s="358">
        <v>1279</v>
      </c>
      <c r="I21" s="358">
        <v>0</v>
      </c>
      <c r="J21" s="358">
        <v>0</v>
      </c>
      <c r="K21" s="358">
        <v>0</v>
      </c>
      <c r="M21" s="416" t="s">
        <v>264</v>
      </c>
      <c r="N21" s="417">
        <f t="shared" si="3"/>
        <v>0</v>
      </c>
      <c r="O21" s="417">
        <f t="shared" si="0"/>
        <v>0</v>
      </c>
      <c r="P21" s="417">
        <f t="shared" si="1"/>
        <v>0</v>
      </c>
      <c r="Q21" s="417">
        <f t="shared" si="2"/>
        <v>0</v>
      </c>
    </row>
    <row r="22" spans="1:17" ht="12.75">
      <c r="A22" s="416" t="s">
        <v>265</v>
      </c>
      <c r="B22" s="417">
        <v>0</v>
      </c>
      <c r="C22" s="417">
        <v>509</v>
      </c>
      <c r="D22" s="417">
        <v>0</v>
      </c>
      <c r="E22" s="417">
        <v>0</v>
      </c>
      <c r="G22" s="78" t="s">
        <v>265</v>
      </c>
      <c r="H22" s="358">
        <v>0</v>
      </c>
      <c r="I22" s="358">
        <v>506</v>
      </c>
      <c r="J22" s="358">
        <v>0</v>
      </c>
      <c r="K22" s="358">
        <v>0</v>
      </c>
      <c r="M22" s="416" t="s">
        <v>265</v>
      </c>
      <c r="N22" s="417">
        <f t="shared" si="3"/>
        <v>0</v>
      </c>
      <c r="O22" s="417">
        <f t="shared" si="0"/>
        <v>3</v>
      </c>
      <c r="P22" s="417">
        <f t="shared" si="1"/>
        <v>0</v>
      </c>
      <c r="Q22" s="417">
        <f t="shared" si="2"/>
        <v>0</v>
      </c>
    </row>
    <row r="23" spans="1:17" ht="12.75">
      <c r="A23" s="416" t="s">
        <v>266</v>
      </c>
      <c r="B23" s="417">
        <v>0</v>
      </c>
      <c r="C23" s="417">
        <v>0</v>
      </c>
      <c r="D23" s="417">
        <v>4601</v>
      </c>
      <c r="E23" s="417">
        <v>0</v>
      </c>
      <c r="G23" s="78" t="s">
        <v>266</v>
      </c>
      <c r="H23" s="358">
        <v>0</v>
      </c>
      <c r="I23" s="358">
        <v>0</v>
      </c>
      <c r="J23" s="358">
        <v>4601</v>
      </c>
      <c r="K23" s="358">
        <v>0</v>
      </c>
      <c r="M23" s="416" t="s">
        <v>266</v>
      </c>
      <c r="N23" s="417">
        <f t="shared" si="3"/>
        <v>0</v>
      </c>
      <c r="O23" s="417">
        <f t="shared" si="0"/>
        <v>0</v>
      </c>
      <c r="P23" s="417">
        <f t="shared" si="1"/>
        <v>0</v>
      </c>
      <c r="Q23" s="417">
        <f t="shared" si="2"/>
        <v>0</v>
      </c>
    </row>
    <row r="24" spans="1:17" ht="12.75">
      <c r="A24" s="416" t="s">
        <v>267</v>
      </c>
      <c r="B24" s="417">
        <v>0</v>
      </c>
      <c r="C24" s="417">
        <v>97</v>
      </c>
      <c r="D24" s="417">
        <v>784</v>
      </c>
      <c r="E24" s="417">
        <v>19</v>
      </c>
      <c r="G24" s="78" t="s">
        <v>267</v>
      </c>
      <c r="H24" s="358">
        <v>0</v>
      </c>
      <c r="I24" s="358">
        <v>97</v>
      </c>
      <c r="J24" s="358">
        <v>784</v>
      </c>
      <c r="K24" s="358">
        <v>19</v>
      </c>
      <c r="M24" s="416" t="s">
        <v>267</v>
      </c>
      <c r="N24" s="417">
        <f t="shared" si="3"/>
        <v>0</v>
      </c>
      <c r="O24" s="417">
        <f t="shared" si="0"/>
        <v>0</v>
      </c>
      <c r="P24" s="417">
        <f t="shared" si="1"/>
        <v>0</v>
      </c>
      <c r="Q24" s="417">
        <f t="shared" si="2"/>
        <v>0</v>
      </c>
    </row>
    <row r="25" spans="1:17" ht="12.75">
      <c r="A25" s="416" t="s">
        <v>268</v>
      </c>
      <c r="B25" s="417">
        <v>0</v>
      </c>
      <c r="C25" s="417">
        <v>0</v>
      </c>
      <c r="D25" s="417">
        <v>314</v>
      </c>
      <c r="E25" s="417">
        <v>0</v>
      </c>
      <c r="G25" s="78" t="s">
        <v>268</v>
      </c>
      <c r="H25" s="358">
        <v>0</v>
      </c>
      <c r="I25" s="358">
        <v>0</v>
      </c>
      <c r="J25" s="358">
        <v>314</v>
      </c>
      <c r="K25" s="358">
        <v>0</v>
      </c>
      <c r="M25" s="416" t="s">
        <v>268</v>
      </c>
      <c r="N25" s="417">
        <f t="shared" si="3"/>
        <v>0</v>
      </c>
      <c r="O25" s="417">
        <f t="shared" si="0"/>
        <v>0</v>
      </c>
      <c r="P25" s="417">
        <f t="shared" si="1"/>
        <v>0</v>
      </c>
      <c r="Q25" s="417">
        <f t="shared" si="2"/>
        <v>0</v>
      </c>
    </row>
    <row r="26" spans="1:17" ht="12.75">
      <c r="A26" s="416" t="s">
        <v>269</v>
      </c>
      <c r="B26" s="417">
        <v>15</v>
      </c>
      <c r="C26" s="417">
        <v>0</v>
      </c>
      <c r="D26" s="417">
        <v>314</v>
      </c>
      <c r="E26" s="417">
        <v>0</v>
      </c>
      <c r="G26" s="78" t="s">
        <v>269</v>
      </c>
      <c r="H26" s="358">
        <v>15</v>
      </c>
      <c r="I26" s="358">
        <v>0</v>
      </c>
      <c r="J26" s="358">
        <v>314</v>
      </c>
      <c r="K26" s="358">
        <v>0</v>
      </c>
      <c r="M26" s="416" t="s">
        <v>269</v>
      </c>
      <c r="N26" s="417">
        <f t="shared" si="3"/>
        <v>0</v>
      </c>
      <c r="O26" s="417">
        <f t="shared" si="0"/>
        <v>0</v>
      </c>
      <c r="P26" s="417">
        <f t="shared" si="1"/>
        <v>0</v>
      </c>
      <c r="Q26" s="417">
        <f t="shared" si="2"/>
        <v>0</v>
      </c>
    </row>
    <row r="27" spans="1:17" ht="12.75">
      <c r="A27" s="418" t="s">
        <v>270</v>
      </c>
      <c r="B27" s="419">
        <v>-2200</v>
      </c>
      <c r="C27" s="419">
        <v>288</v>
      </c>
      <c r="D27" s="419">
        <v>82108</v>
      </c>
      <c r="E27" s="419">
        <v>15378</v>
      </c>
      <c r="G27" s="79" t="s">
        <v>536</v>
      </c>
      <c r="H27" s="359">
        <v>-2194</v>
      </c>
      <c r="I27" s="359">
        <v>289</v>
      </c>
      <c r="J27" s="359">
        <v>82110</v>
      </c>
      <c r="K27" s="359">
        <v>15378</v>
      </c>
      <c r="M27" s="418" t="s">
        <v>270</v>
      </c>
      <c r="N27" s="417">
        <f t="shared" si="3"/>
        <v>-6</v>
      </c>
      <c r="O27" s="417">
        <f t="shared" si="0"/>
        <v>-1</v>
      </c>
      <c r="P27" s="417">
        <f t="shared" si="1"/>
        <v>-2</v>
      </c>
      <c r="Q27" s="417">
        <f t="shared" si="2"/>
        <v>0</v>
      </c>
    </row>
    <row r="28" spans="1:17" ht="12.75">
      <c r="A28" s="418" t="s">
        <v>4</v>
      </c>
      <c r="B28" s="419">
        <v>27866</v>
      </c>
      <c r="C28" s="419">
        <v>24828</v>
      </c>
      <c r="D28" s="419">
        <v>210857</v>
      </c>
      <c r="E28" s="419">
        <v>25830</v>
      </c>
      <c r="G28" s="79" t="s">
        <v>4</v>
      </c>
      <c r="H28" s="359">
        <v>27855</v>
      </c>
      <c r="I28" s="359">
        <v>24823</v>
      </c>
      <c r="J28" s="359">
        <v>210859</v>
      </c>
      <c r="K28" s="359">
        <v>25830</v>
      </c>
      <c r="M28" s="418" t="s">
        <v>4</v>
      </c>
      <c r="N28" s="417">
        <f t="shared" si="3"/>
        <v>11</v>
      </c>
      <c r="O28" s="417">
        <f t="shared" si="0"/>
        <v>5</v>
      </c>
      <c r="P28" s="417">
        <f t="shared" si="1"/>
        <v>-2</v>
      </c>
      <c r="Q28" s="417">
        <f t="shared" si="2"/>
        <v>0</v>
      </c>
    </row>
  </sheetData>
  <sheetProtection/>
  <mergeCells count="6">
    <mergeCell ref="A1:E1"/>
    <mergeCell ref="A2:A3"/>
    <mergeCell ref="G1:K1"/>
    <mergeCell ref="G2:G3"/>
    <mergeCell ref="M1:Q1"/>
    <mergeCell ref="M2:M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I94"/>
  <sheetViews>
    <sheetView zoomScalePageLayoutView="0" workbookViewId="0" topLeftCell="A1">
      <selection activeCell="G11" sqref="G11"/>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 min="7" max="7" width="19.28125" style="0" customWidth="1"/>
    <col min="8" max="8" width="11.140625" style="0" customWidth="1"/>
    <col min="9" max="9" width="11.57421875" style="0" customWidth="1"/>
    <col min="10" max="10" width="11.140625" style="0" customWidth="1"/>
    <col min="11" max="11" width="11.00390625" style="0" customWidth="1"/>
    <col min="13" max="13" width="19.140625" style="0" customWidth="1"/>
    <col min="14" max="14" width="11.00390625" style="0" customWidth="1"/>
    <col min="15" max="15" width="10.421875" style="0" customWidth="1"/>
    <col min="16" max="16" width="11.00390625" style="0" customWidth="1"/>
    <col min="17" max="17" width="11.8515625" style="0" customWidth="1"/>
    <col min="19" max="19" width="19.7109375" style="0" customWidth="1"/>
    <col min="20" max="23" width="9.7109375" style="0" customWidth="1"/>
    <col min="25" max="25" width="19.7109375" style="0" customWidth="1"/>
    <col min="26" max="29" width="9.7109375" style="0" customWidth="1"/>
    <col min="31" max="31" width="19.7109375" style="0" customWidth="1"/>
    <col min="32" max="35" width="9.7109375" style="0" customWidth="1"/>
  </cols>
  <sheetData>
    <row r="1" spans="1:33" ht="37.5" customHeight="1">
      <c r="A1" s="461" t="s">
        <v>591</v>
      </c>
      <c r="B1" s="462"/>
      <c r="C1" s="462"/>
      <c r="D1" s="462"/>
      <c r="E1" s="463"/>
      <c r="M1" s="351"/>
      <c r="N1" s="351"/>
      <c r="O1" s="351"/>
      <c r="P1" s="351"/>
      <c r="Q1" s="351"/>
      <c r="R1" s="351"/>
      <c r="S1" s="351"/>
      <c r="T1" s="351"/>
      <c r="U1" s="351"/>
      <c r="V1" s="351"/>
      <c r="W1" s="351"/>
      <c r="X1" s="351"/>
      <c r="Y1" s="351"/>
      <c r="Z1" s="351"/>
      <c r="AA1" s="351"/>
      <c r="AB1" s="351"/>
      <c r="AC1" s="351"/>
      <c r="AD1" s="351"/>
      <c r="AE1" s="351"/>
      <c r="AF1" s="351"/>
      <c r="AG1" s="351"/>
    </row>
    <row r="2" spans="1:33" ht="13.5" customHeight="1">
      <c r="A2" s="459" t="s">
        <v>256</v>
      </c>
      <c r="B2" s="76" t="s">
        <v>0</v>
      </c>
      <c r="C2" s="76" t="s">
        <v>175</v>
      </c>
      <c r="D2" s="76" t="s">
        <v>1</v>
      </c>
      <c r="E2" s="76" t="s">
        <v>1</v>
      </c>
      <c r="G2" s="272" t="s">
        <v>593</v>
      </c>
      <c r="H2" s="349"/>
      <c r="I2" s="349"/>
      <c r="J2" s="349"/>
      <c r="K2" s="349"/>
      <c r="M2" s="350"/>
      <c r="N2" s="350"/>
      <c r="O2" s="350"/>
      <c r="P2" s="350"/>
      <c r="Q2" s="350"/>
      <c r="R2" s="350"/>
      <c r="S2" s="350"/>
      <c r="T2" s="350"/>
      <c r="U2" s="350"/>
      <c r="V2" s="350"/>
      <c r="W2" s="350"/>
      <c r="X2" s="350"/>
      <c r="Y2" s="350"/>
      <c r="Z2" s="350"/>
      <c r="AA2" s="350"/>
      <c r="AB2" s="350"/>
      <c r="AC2" s="464"/>
      <c r="AD2" s="464"/>
      <c r="AE2" s="464"/>
      <c r="AF2" s="464"/>
      <c r="AG2" s="464"/>
    </row>
    <row r="3" spans="1:33" ht="13.5" customHeight="1">
      <c r="A3" s="460"/>
      <c r="B3" s="77" t="s">
        <v>257</v>
      </c>
      <c r="C3" s="77" t="s">
        <v>257</v>
      </c>
      <c r="D3" s="77" t="s">
        <v>257</v>
      </c>
      <c r="E3" s="77" t="s">
        <v>258</v>
      </c>
      <c r="G3" s="272" t="s">
        <v>655</v>
      </c>
      <c r="H3" s="349"/>
      <c r="I3" s="349"/>
      <c r="J3" s="349"/>
      <c r="K3" s="349"/>
      <c r="M3" s="350"/>
      <c r="N3" s="342"/>
      <c r="O3" s="342"/>
      <c r="P3" s="342"/>
      <c r="Q3" s="342"/>
      <c r="R3" s="342"/>
      <c r="S3" s="342"/>
      <c r="T3" s="342"/>
      <c r="U3" s="342"/>
      <c r="V3" s="342"/>
      <c r="W3" s="342"/>
      <c r="X3" s="342"/>
      <c r="Y3" s="342"/>
      <c r="Z3" s="342"/>
      <c r="AA3" s="342"/>
      <c r="AB3" s="342"/>
      <c r="AC3" s="342"/>
      <c r="AD3" s="342"/>
      <c r="AE3" s="342"/>
      <c r="AF3" s="342"/>
      <c r="AG3" s="342"/>
    </row>
    <row r="4" spans="1:33" ht="13.5" customHeight="1">
      <c r="A4" s="78" t="s">
        <v>15</v>
      </c>
      <c r="B4" s="358">
        <v>1419</v>
      </c>
      <c r="C4" s="358">
        <v>93</v>
      </c>
      <c r="D4" s="358">
        <v>128</v>
      </c>
      <c r="E4" s="358">
        <v>0</v>
      </c>
      <c r="G4" s="38"/>
      <c r="H4" s="353"/>
      <c r="I4" s="353"/>
      <c r="J4" s="353"/>
      <c r="M4" s="343"/>
      <c r="N4" s="344"/>
      <c r="O4" s="344"/>
      <c r="P4" s="344"/>
      <c r="Q4" s="344"/>
      <c r="R4" s="344"/>
      <c r="S4" s="344"/>
      <c r="T4" s="344"/>
      <c r="U4" s="344"/>
      <c r="V4" s="344"/>
      <c r="W4" s="344"/>
      <c r="X4" s="344"/>
      <c r="Y4" s="344"/>
      <c r="Z4" s="344"/>
      <c r="AA4" s="344"/>
      <c r="AB4" s="344"/>
      <c r="AC4" s="344"/>
      <c r="AD4" s="344"/>
      <c r="AE4" s="344"/>
      <c r="AF4" s="344"/>
      <c r="AG4" s="344"/>
    </row>
    <row r="5" spans="1:33" ht="13.5" customHeight="1">
      <c r="A5" s="78" t="s">
        <v>22</v>
      </c>
      <c r="B5" s="358">
        <v>0</v>
      </c>
      <c r="C5" s="358">
        <v>6768</v>
      </c>
      <c r="D5" s="358">
        <v>5892</v>
      </c>
      <c r="E5" s="358">
        <v>0</v>
      </c>
      <c r="G5" s="38"/>
      <c r="M5" s="343"/>
      <c r="N5" s="344"/>
      <c r="O5" s="344"/>
      <c r="P5" s="344"/>
      <c r="Q5" s="344"/>
      <c r="R5" s="344"/>
      <c r="S5" s="344"/>
      <c r="T5" s="344"/>
      <c r="U5" s="344"/>
      <c r="V5" s="344"/>
      <c r="W5" s="344"/>
      <c r="X5" s="344"/>
      <c r="Y5" s="344"/>
      <c r="Z5" s="344"/>
      <c r="AA5" s="344"/>
      <c r="AB5" s="344"/>
      <c r="AC5" s="344"/>
      <c r="AD5" s="344"/>
      <c r="AE5" s="344"/>
      <c r="AF5" s="344"/>
      <c r="AG5" s="344"/>
    </row>
    <row r="6" spans="1:33" ht="13.5" customHeight="1">
      <c r="A6" s="78" t="s">
        <v>16</v>
      </c>
      <c r="B6" s="358">
        <v>354</v>
      </c>
      <c r="C6" s="358">
        <v>0</v>
      </c>
      <c r="D6" s="358">
        <v>3298</v>
      </c>
      <c r="E6" s="358">
        <v>0</v>
      </c>
      <c r="G6" s="360" t="s">
        <v>594</v>
      </c>
      <c r="M6" s="343"/>
      <c r="N6" s="344"/>
      <c r="O6" s="344"/>
      <c r="P6" s="344"/>
      <c r="Q6" s="344"/>
      <c r="R6" s="344"/>
      <c r="S6" s="344"/>
      <c r="T6" s="344"/>
      <c r="U6" s="344"/>
      <c r="V6" s="344"/>
      <c r="W6" s="344"/>
      <c r="X6" s="344"/>
      <c r="Y6" s="344"/>
      <c r="Z6" s="344"/>
      <c r="AA6" s="344"/>
      <c r="AB6" s="344"/>
      <c r="AC6" s="344"/>
      <c r="AD6" s="344"/>
      <c r="AE6" s="344"/>
      <c r="AF6" s="344"/>
      <c r="AG6" s="344"/>
    </row>
    <row r="7" spans="1:33" ht="13.5" customHeight="1">
      <c r="A7" s="78" t="s">
        <v>19</v>
      </c>
      <c r="B7" s="358">
        <v>0</v>
      </c>
      <c r="C7" s="358">
        <v>0</v>
      </c>
      <c r="D7" s="358">
        <v>1288</v>
      </c>
      <c r="E7" s="358">
        <v>0</v>
      </c>
      <c r="G7" s="38"/>
      <c r="M7" s="343"/>
      <c r="N7" s="344"/>
      <c r="O7" s="344"/>
      <c r="P7" s="344"/>
      <c r="Q7" s="344"/>
      <c r="R7" s="344"/>
      <c r="S7" s="344"/>
      <c r="T7" s="344"/>
      <c r="U7" s="344"/>
      <c r="V7" s="344"/>
      <c r="W7" s="344"/>
      <c r="X7" s="344"/>
      <c r="Y7" s="344"/>
      <c r="Z7" s="344"/>
      <c r="AA7" s="344"/>
      <c r="AB7" s="344"/>
      <c r="AC7" s="344"/>
      <c r="AD7" s="344"/>
      <c r="AE7" s="344"/>
      <c r="AF7" s="344"/>
      <c r="AG7" s="344"/>
    </row>
    <row r="8" spans="1:33" ht="13.5" customHeight="1">
      <c r="A8" s="78" t="s">
        <v>18</v>
      </c>
      <c r="B8" s="358">
        <v>345</v>
      </c>
      <c r="C8" s="358">
        <v>0</v>
      </c>
      <c r="D8" s="358">
        <v>74330</v>
      </c>
      <c r="E8" s="358">
        <v>0</v>
      </c>
      <c r="G8" s="360" t="s">
        <v>595</v>
      </c>
      <c r="M8" s="343"/>
      <c r="N8" s="344"/>
      <c r="O8" s="344"/>
      <c r="P8" s="344"/>
      <c r="Q8" s="344"/>
      <c r="R8" s="344"/>
      <c r="S8" s="344"/>
      <c r="T8" s="344"/>
      <c r="U8" s="344"/>
      <c r="V8" s="344"/>
      <c r="W8" s="344"/>
      <c r="X8" s="344"/>
      <c r="Y8" s="344"/>
      <c r="Z8" s="344"/>
      <c r="AA8" s="344"/>
      <c r="AB8" s="344"/>
      <c r="AC8" s="344"/>
      <c r="AD8" s="344"/>
      <c r="AE8" s="344"/>
      <c r="AF8" s="344"/>
      <c r="AG8" s="344"/>
    </row>
    <row r="9" spans="1:33" ht="13.5" customHeight="1">
      <c r="A9" s="78" t="s">
        <v>14</v>
      </c>
      <c r="B9" s="358">
        <v>14946</v>
      </c>
      <c r="C9" s="358">
        <v>24</v>
      </c>
      <c r="D9" s="358">
        <v>1471</v>
      </c>
      <c r="E9" s="358">
        <v>0</v>
      </c>
      <c r="G9" s="38"/>
      <c r="M9" s="343"/>
      <c r="N9" s="344"/>
      <c r="O9" s="344"/>
      <c r="P9" s="344"/>
      <c r="Q9" s="344"/>
      <c r="R9" s="344"/>
      <c r="S9" s="344"/>
      <c r="T9" s="344"/>
      <c r="U9" s="344"/>
      <c r="V9" s="344"/>
      <c r="W9" s="344"/>
      <c r="X9" s="344"/>
      <c r="Y9" s="344"/>
      <c r="Z9" s="344"/>
      <c r="AA9" s="344"/>
      <c r="AB9" s="344"/>
      <c r="AC9" s="344"/>
      <c r="AD9" s="344"/>
      <c r="AE9" s="344"/>
      <c r="AF9" s="344"/>
      <c r="AG9" s="344"/>
    </row>
    <row r="10" spans="1:33" ht="13.5" customHeight="1">
      <c r="A10" s="78" t="s">
        <v>259</v>
      </c>
      <c r="B10" s="358">
        <v>-2181</v>
      </c>
      <c r="C10" s="358">
        <v>122</v>
      </c>
      <c r="D10" s="358">
        <v>9370</v>
      </c>
      <c r="E10" s="358">
        <v>0</v>
      </c>
      <c r="G10" s="360" t="s">
        <v>656</v>
      </c>
      <c r="M10" s="343"/>
      <c r="N10" s="344"/>
      <c r="O10" s="344"/>
      <c r="P10" s="344"/>
      <c r="Q10" s="344"/>
      <c r="R10" s="344"/>
      <c r="S10" s="344"/>
      <c r="T10" s="344"/>
      <c r="U10" s="344"/>
      <c r="V10" s="344"/>
      <c r="W10" s="344"/>
      <c r="X10" s="344"/>
      <c r="Y10" s="344"/>
      <c r="Z10" s="344"/>
      <c r="AA10" s="344"/>
      <c r="AB10" s="344"/>
      <c r="AC10" s="344"/>
      <c r="AD10" s="344"/>
      <c r="AE10" s="344"/>
      <c r="AF10" s="344"/>
      <c r="AG10" s="344"/>
    </row>
    <row r="11" spans="1:33" ht="13.5" customHeight="1">
      <c r="A11" s="78" t="s">
        <v>260</v>
      </c>
      <c r="B11" s="358">
        <v>-13</v>
      </c>
      <c r="C11" s="358">
        <v>126</v>
      </c>
      <c r="D11" s="358">
        <v>45949</v>
      </c>
      <c r="E11" s="358">
        <v>15096</v>
      </c>
      <c r="M11" s="343"/>
      <c r="N11" s="344"/>
      <c r="O11" s="344"/>
      <c r="P11" s="344"/>
      <c r="Q11" s="344"/>
      <c r="R11" s="344"/>
      <c r="S11" s="344"/>
      <c r="T11" s="344"/>
      <c r="U11" s="344"/>
      <c r="V11" s="344"/>
      <c r="W11" s="344"/>
      <c r="X11" s="344"/>
      <c r="Y11" s="344"/>
      <c r="Z11" s="344"/>
      <c r="AA11" s="344"/>
      <c r="AB11" s="344"/>
      <c r="AC11" s="344"/>
      <c r="AD11" s="344"/>
      <c r="AE11" s="344"/>
      <c r="AF11" s="344"/>
      <c r="AG11" s="344"/>
    </row>
    <row r="12" spans="1:33" ht="13.5" customHeight="1">
      <c r="A12" s="78" t="s">
        <v>261</v>
      </c>
      <c r="B12" s="358">
        <v>0</v>
      </c>
      <c r="C12" s="358">
        <v>0</v>
      </c>
      <c r="D12" s="358">
        <v>24975</v>
      </c>
      <c r="E12" s="358">
        <v>287</v>
      </c>
      <c r="M12" s="343"/>
      <c r="N12" s="344"/>
      <c r="O12" s="344"/>
      <c r="P12" s="344"/>
      <c r="Q12" s="344"/>
      <c r="R12" s="344"/>
      <c r="S12" s="344"/>
      <c r="T12" s="344"/>
      <c r="U12" s="344"/>
      <c r="V12" s="344"/>
      <c r="W12" s="344"/>
      <c r="X12" s="344"/>
      <c r="Y12" s="344"/>
      <c r="Z12" s="344"/>
      <c r="AA12" s="344"/>
      <c r="AB12" s="344"/>
      <c r="AC12" s="344"/>
      <c r="AD12" s="344"/>
      <c r="AE12" s="344"/>
      <c r="AF12" s="344"/>
      <c r="AG12" s="344"/>
    </row>
    <row r="13" spans="1:33" ht="13.5" customHeight="1">
      <c r="A13" s="78" t="s">
        <v>262</v>
      </c>
      <c r="B13" s="358">
        <v>0</v>
      </c>
      <c r="C13" s="358">
        <v>44</v>
      </c>
      <c r="D13" s="358">
        <v>1815</v>
      </c>
      <c r="E13" s="358">
        <v>0</v>
      </c>
      <c r="M13" s="343"/>
      <c r="N13" s="344"/>
      <c r="O13" s="344"/>
      <c r="P13" s="344"/>
      <c r="Q13" s="344"/>
      <c r="R13" s="344"/>
      <c r="S13" s="344"/>
      <c r="T13" s="344"/>
      <c r="U13" s="344"/>
      <c r="V13" s="344"/>
      <c r="W13" s="344"/>
      <c r="X13" s="344"/>
      <c r="Y13" s="344"/>
      <c r="Z13" s="344"/>
      <c r="AA13" s="344"/>
      <c r="AB13" s="344"/>
      <c r="AC13" s="344"/>
      <c r="AD13" s="344"/>
      <c r="AE13" s="344"/>
      <c r="AF13" s="344"/>
      <c r="AG13" s="344"/>
    </row>
    <row r="14" spans="1:33" ht="13.5" customHeight="1">
      <c r="A14" s="78" t="s">
        <v>21</v>
      </c>
      <c r="B14" s="358">
        <v>0</v>
      </c>
      <c r="C14" s="358">
        <v>0</v>
      </c>
      <c r="D14" s="358">
        <v>19155</v>
      </c>
      <c r="E14" s="358">
        <v>10381</v>
      </c>
      <c r="M14" s="343"/>
      <c r="N14" s="344"/>
      <c r="O14" s="344"/>
      <c r="P14" s="344"/>
      <c r="Q14" s="344"/>
      <c r="R14" s="344"/>
      <c r="S14" s="344"/>
      <c r="T14" s="344"/>
      <c r="U14" s="344"/>
      <c r="V14" s="344"/>
      <c r="W14" s="344"/>
      <c r="X14" s="344"/>
      <c r="Y14" s="344"/>
      <c r="Z14" s="344"/>
      <c r="AA14" s="344"/>
      <c r="AB14" s="344"/>
      <c r="AC14" s="344"/>
      <c r="AD14" s="344"/>
      <c r="AE14" s="344"/>
      <c r="AF14" s="344"/>
      <c r="AG14" s="344"/>
    </row>
    <row r="15" spans="1:33" ht="13.5" customHeight="1">
      <c r="A15" s="78" t="s">
        <v>24</v>
      </c>
      <c r="B15" s="358">
        <v>0</v>
      </c>
      <c r="C15" s="358">
        <v>9133</v>
      </c>
      <c r="D15" s="358">
        <v>25</v>
      </c>
      <c r="E15" s="358">
        <v>0</v>
      </c>
      <c r="M15" s="343"/>
      <c r="N15" s="344"/>
      <c r="O15" s="344"/>
      <c r="P15" s="344"/>
      <c r="Q15" s="344"/>
      <c r="R15" s="344"/>
      <c r="S15" s="344"/>
      <c r="T15" s="344"/>
      <c r="U15" s="344"/>
      <c r="V15" s="344"/>
      <c r="W15" s="344"/>
      <c r="X15" s="344"/>
      <c r="Y15" s="344"/>
      <c r="Z15" s="344"/>
      <c r="AA15" s="344"/>
      <c r="AB15" s="344"/>
      <c r="AC15" s="344"/>
      <c r="AD15" s="344"/>
      <c r="AE15" s="344"/>
      <c r="AF15" s="344"/>
      <c r="AG15" s="344"/>
    </row>
    <row r="16" spans="1:33" ht="13.5" customHeight="1">
      <c r="A16" s="78" t="s">
        <v>20</v>
      </c>
      <c r="B16" s="358">
        <v>0</v>
      </c>
      <c r="C16" s="358">
        <v>0</v>
      </c>
      <c r="D16" s="358">
        <v>7335</v>
      </c>
      <c r="E16" s="358">
        <v>42</v>
      </c>
      <c r="M16" s="343"/>
      <c r="N16" s="344"/>
      <c r="O16" s="344"/>
      <c r="P16" s="344"/>
      <c r="Q16" s="344"/>
      <c r="R16" s="344"/>
      <c r="S16" s="344"/>
      <c r="T16" s="344"/>
      <c r="U16" s="344"/>
      <c r="V16" s="344"/>
      <c r="W16" s="344"/>
      <c r="X16" s="344"/>
      <c r="Y16" s="344"/>
      <c r="Z16" s="344"/>
      <c r="AA16" s="344"/>
      <c r="AB16" s="344"/>
      <c r="AC16" s="344"/>
      <c r="AD16" s="344"/>
      <c r="AE16" s="344"/>
      <c r="AF16" s="344"/>
      <c r="AG16" s="344"/>
    </row>
    <row r="17" spans="1:33" ht="13.5" customHeight="1">
      <c r="A17" s="78" t="s">
        <v>5</v>
      </c>
      <c r="B17" s="358">
        <v>75</v>
      </c>
      <c r="C17" s="358">
        <v>0</v>
      </c>
      <c r="D17" s="358">
        <v>4124</v>
      </c>
      <c r="E17" s="358">
        <v>0</v>
      </c>
      <c r="M17" s="343"/>
      <c r="N17" s="344"/>
      <c r="O17" s="344"/>
      <c r="P17" s="344"/>
      <c r="Q17" s="344"/>
      <c r="R17" s="344"/>
      <c r="S17" s="344"/>
      <c r="T17" s="344"/>
      <c r="U17" s="344"/>
      <c r="V17" s="344"/>
      <c r="W17" s="344"/>
      <c r="X17" s="344"/>
      <c r="Y17" s="344"/>
      <c r="Z17" s="344"/>
      <c r="AA17" s="344"/>
      <c r="AB17" s="344"/>
      <c r="AC17" s="344"/>
      <c r="AD17" s="344"/>
      <c r="AE17" s="344"/>
      <c r="AF17" s="344"/>
      <c r="AG17" s="344"/>
    </row>
    <row r="18" spans="1:33" ht="13.5" customHeight="1">
      <c r="A18" s="78" t="s">
        <v>23</v>
      </c>
      <c r="B18" s="358">
        <v>0</v>
      </c>
      <c r="C18" s="358">
        <v>2155</v>
      </c>
      <c r="D18" s="358">
        <v>2991</v>
      </c>
      <c r="E18" s="358">
        <v>0</v>
      </c>
      <c r="M18" s="343"/>
      <c r="N18" s="344"/>
      <c r="O18" s="344"/>
      <c r="P18" s="344"/>
      <c r="Q18" s="344"/>
      <c r="R18" s="344"/>
      <c r="S18" s="344"/>
      <c r="T18" s="344"/>
      <c r="U18" s="344"/>
      <c r="V18" s="344"/>
      <c r="W18" s="344"/>
      <c r="X18" s="344"/>
      <c r="Y18" s="344"/>
      <c r="Z18" s="344"/>
      <c r="AA18" s="344"/>
      <c r="AB18" s="344"/>
      <c r="AC18" s="344"/>
      <c r="AD18" s="344"/>
      <c r="AE18" s="344"/>
      <c r="AF18" s="344"/>
      <c r="AG18" s="344"/>
    </row>
    <row r="19" spans="1:33" ht="13.5" customHeight="1">
      <c r="A19" s="78" t="s">
        <v>17</v>
      </c>
      <c r="B19" s="358">
        <v>11613</v>
      </c>
      <c r="C19" s="358">
        <v>5748</v>
      </c>
      <c r="D19" s="358">
        <v>1030</v>
      </c>
      <c r="E19" s="358">
        <v>0</v>
      </c>
      <c r="M19" s="343"/>
      <c r="N19" s="344"/>
      <c r="O19" s="344"/>
      <c r="P19" s="344"/>
      <c r="Q19" s="344"/>
      <c r="R19" s="344"/>
      <c r="S19" s="344"/>
      <c r="T19" s="344"/>
      <c r="U19" s="344"/>
      <c r="V19" s="344"/>
      <c r="W19" s="344"/>
      <c r="X19" s="344"/>
      <c r="Y19" s="344"/>
      <c r="Z19" s="344"/>
      <c r="AA19" s="344"/>
      <c r="AB19" s="344"/>
      <c r="AC19" s="344"/>
      <c r="AD19" s="344"/>
      <c r="AE19" s="344"/>
      <c r="AF19" s="344"/>
      <c r="AG19" s="344"/>
    </row>
    <row r="20" spans="1:33" ht="13.5" customHeight="1">
      <c r="A20" s="78" t="s">
        <v>263</v>
      </c>
      <c r="B20" s="358">
        <v>0</v>
      </c>
      <c r="C20" s="358">
        <v>0</v>
      </c>
      <c r="D20" s="358">
        <v>1671</v>
      </c>
      <c r="E20" s="358">
        <v>0</v>
      </c>
      <c r="M20" s="343"/>
      <c r="N20" s="344"/>
      <c r="O20" s="344"/>
      <c r="P20" s="344"/>
      <c r="Q20" s="344"/>
      <c r="R20" s="344"/>
      <c r="S20" s="344"/>
      <c r="T20" s="344"/>
      <c r="U20" s="344"/>
      <c r="V20" s="344"/>
      <c r="W20" s="344"/>
      <c r="X20" s="344"/>
      <c r="Y20" s="344"/>
      <c r="Z20" s="344"/>
      <c r="AA20" s="344"/>
      <c r="AB20" s="344"/>
      <c r="AC20" s="344"/>
      <c r="AD20" s="344"/>
      <c r="AE20" s="344"/>
      <c r="AF20" s="344"/>
      <c r="AG20" s="344"/>
    </row>
    <row r="21" spans="1:33" ht="13.5" customHeight="1">
      <c r="A21" s="78" t="s">
        <v>264</v>
      </c>
      <c r="B21" s="358">
        <v>1279</v>
      </c>
      <c r="C21" s="358">
        <v>0</v>
      </c>
      <c r="D21" s="358">
        <v>0</v>
      </c>
      <c r="E21" s="358">
        <v>0</v>
      </c>
      <c r="M21" s="343"/>
      <c r="N21" s="344"/>
      <c r="O21" s="344"/>
      <c r="P21" s="344"/>
      <c r="Q21" s="344"/>
      <c r="R21" s="344"/>
      <c r="S21" s="344"/>
      <c r="T21" s="344"/>
      <c r="U21" s="344"/>
      <c r="V21" s="344"/>
      <c r="W21" s="344"/>
      <c r="X21" s="344"/>
      <c r="Y21" s="344"/>
      <c r="Z21" s="344"/>
      <c r="AA21" s="344"/>
      <c r="AB21" s="344"/>
      <c r="AC21" s="344"/>
      <c r="AD21" s="344"/>
      <c r="AE21" s="344"/>
      <c r="AF21" s="344"/>
      <c r="AG21" s="344"/>
    </row>
    <row r="22" spans="1:33" ht="13.5" customHeight="1">
      <c r="A22" s="78" t="s">
        <v>265</v>
      </c>
      <c r="B22" s="358">
        <v>0</v>
      </c>
      <c r="C22" s="358">
        <v>506</v>
      </c>
      <c r="D22" s="358">
        <v>0</v>
      </c>
      <c r="E22" s="358">
        <v>0</v>
      </c>
      <c r="M22" s="343"/>
      <c r="N22" s="344"/>
      <c r="O22" s="344"/>
      <c r="P22" s="344"/>
      <c r="Q22" s="344"/>
      <c r="R22" s="344"/>
      <c r="S22" s="344"/>
      <c r="T22" s="344"/>
      <c r="U22" s="344"/>
      <c r="V22" s="344"/>
      <c r="W22" s="344"/>
      <c r="X22" s="344"/>
      <c r="Y22" s="344"/>
      <c r="Z22" s="344"/>
      <c r="AA22" s="344"/>
      <c r="AB22" s="344"/>
      <c r="AC22" s="344"/>
      <c r="AD22" s="344"/>
      <c r="AE22" s="344"/>
      <c r="AF22" s="344"/>
      <c r="AG22" s="344"/>
    </row>
    <row r="23" spans="1:33" ht="13.5" customHeight="1">
      <c r="A23" s="78" t="s">
        <v>266</v>
      </c>
      <c r="B23" s="358">
        <v>0</v>
      </c>
      <c r="C23" s="358">
        <v>0</v>
      </c>
      <c r="D23" s="358">
        <v>4601</v>
      </c>
      <c r="E23" s="358">
        <v>0</v>
      </c>
      <c r="M23" s="343"/>
      <c r="N23" s="344"/>
      <c r="O23" s="344"/>
      <c r="P23" s="344"/>
      <c r="Q23" s="344"/>
      <c r="R23" s="344"/>
      <c r="S23" s="344"/>
      <c r="T23" s="344"/>
      <c r="U23" s="344"/>
      <c r="V23" s="344"/>
      <c r="W23" s="344"/>
      <c r="X23" s="344"/>
      <c r="Y23" s="344"/>
      <c r="Z23" s="344"/>
      <c r="AA23" s="344"/>
      <c r="AB23" s="344"/>
      <c r="AC23" s="344"/>
      <c r="AD23" s="344"/>
      <c r="AE23" s="344"/>
      <c r="AF23" s="344"/>
      <c r="AG23" s="344"/>
    </row>
    <row r="24" spans="1:33" ht="13.5" customHeight="1">
      <c r="A24" s="78" t="s">
        <v>267</v>
      </c>
      <c r="B24" s="358">
        <v>0</v>
      </c>
      <c r="C24" s="358">
        <v>97</v>
      </c>
      <c r="D24" s="358">
        <v>784</v>
      </c>
      <c r="E24" s="358">
        <v>19</v>
      </c>
      <c r="M24" s="343"/>
      <c r="N24" s="344"/>
      <c r="O24" s="344"/>
      <c r="P24" s="344"/>
      <c r="Q24" s="344"/>
      <c r="R24" s="344"/>
      <c r="S24" s="344"/>
      <c r="T24" s="344"/>
      <c r="U24" s="344"/>
      <c r="V24" s="344"/>
      <c r="W24" s="344"/>
      <c r="X24" s="344"/>
      <c r="Y24" s="344"/>
      <c r="Z24" s="344"/>
      <c r="AA24" s="344"/>
      <c r="AB24" s="344"/>
      <c r="AC24" s="344"/>
      <c r="AD24" s="344"/>
      <c r="AE24" s="344"/>
      <c r="AF24" s="344"/>
      <c r="AG24" s="344"/>
    </row>
    <row r="25" spans="1:33" ht="13.5" customHeight="1">
      <c r="A25" s="78" t="s">
        <v>268</v>
      </c>
      <c r="B25" s="358">
        <v>0</v>
      </c>
      <c r="C25" s="358">
        <v>0</v>
      </c>
      <c r="D25" s="358">
        <v>314</v>
      </c>
      <c r="E25" s="358">
        <v>0</v>
      </c>
      <c r="M25" s="343"/>
      <c r="N25" s="344"/>
      <c r="O25" s="344"/>
      <c r="P25" s="344"/>
      <c r="Q25" s="344"/>
      <c r="R25" s="344"/>
      <c r="S25" s="344"/>
      <c r="T25" s="344"/>
      <c r="U25" s="344"/>
      <c r="V25" s="344"/>
      <c r="W25" s="344"/>
      <c r="X25" s="344"/>
      <c r="Y25" s="344"/>
      <c r="Z25" s="344"/>
      <c r="AA25" s="344"/>
      <c r="AB25" s="344"/>
      <c r="AC25" s="344"/>
      <c r="AD25" s="344"/>
      <c r="AE25" s="344"/>
      <c r="AF25" s="344"/>
      <c r="AG25" s="344"/>
    </row>
    <row r="26" spans="1:33" ht="13.5" customHeight="1">
      <c r="A26" s="78" t="s">
        <v>269</v>
      </c>
      <c r="B26" s="358">
        <v>15</v>
      </c>
      <c r="C26" s="358">
        <v>0</v>
      </c>
      <c r="D26" s="358">
        <v>314</v>
      </c>
      <c r="E26" s="358">
        <v>0</v>
      </c>
      <c r="M26" s="343"/>
      <c r="N26" s="344"/>
      <c r="O26" s="344"/>
      <c r="P26" s="344"/>
      <c r="Q26" s="344"/>
      <c r="R26" s="344"/>
      <c r="S26" s="344"/>
      <c r="T26" s="344"/>
      <c r="U26" s="344"/>
      <c r="V26" s="344"/>
      <c r="W26" s="344"/>
      <c r="X26" s="344"/>
      <c r="Y26" s="344"/>
      <c r="Z26" s="344"/>
      <c r="AA26" s="344"/>
      <c r="AB26" s="344"/>
      <c r="AC26" s="344"/>
      <c r="AD26" s="344"/>
      <c r="AE26" s="344"/>
      <c r="AF26" s="344"/>
      <c r="AG26" s="344"/>
    </row>
    <row r="27" spans="1:33" ht="13.5" customHeight="1">
      <c r="A27" s="79" t="s">
        <v>536</v>
      </c>
      <c r="B27" s="359">
        <v>-2194</v>
      </c>
      <c r="C27" s="359">
        <v>289</v>
      </c>
      <c r="D27" s="359">
        <v>82110</v>
      </c>
      <c r="E27" s="359">
        <v>15378</v>
      </c>
      <c r="M27" s="345"/>
      <c r="N27" s="342"/>
      <c r="O27" s="342"/>
      <c r="P27" s="342"/>
      <c r="Q27" s="342"/>
      <c r="R27" s="342"/>
      <c r="S27" s="342"/>
      <c r="T27" s="342"/>
      <c r="U27" s="342"/>
      <c r="V27" s="342"/>
      <c r="W27" s="342"/>
      <c r="X27" s="342"/>
      <c r="Y27" s="342"/>
      <c r="Z27" s="342"/>
      <c r="AA27" s="342"/>
      <c r="AB27" s="342"/>
      <c r="AC27" s="342"/>
      <c r="AD27" s="342"/>
      <c r="AE27" s="342"/>
      <c r="AF27" s="342"/>
      <c r="AG27" s="342"/>
    </row>
    <row r="28" spans="1:33" ht="13.5" customHeight="1">
      <c r="A28" s="79" t="s">
        <v>4</v>
      </c>
      <c r="B28" s="359">
        <v>27855</v>
      </c>
      <c r="C28" s="359">
        <v>24823</v>
      </c>
      <c r="D28" s="359">
        <v>210859</v>
      </c>
      <c r="E28" s="359">
        <v>25830</v>
      </c>
      <c r="M28" s="345"/>
      <c r="N28" s="342"/>
      <c r="O28" s="342"/>
      <c r="P28" s="342"/>
      <c r="Q28" s="342"/>
      <c r="R28" s="342"/>
      <c r="S28" s="342"/>
      <c r="T28" s="342"/>
      <c r="U28" s="342"/>
      <c r="V28" s="342"/>
      <c r="W28" s="342"/>
      <c r="X28" s="342"/>
      <c r="Y28" s="342"/>
      <c r="Z28" s="342"/>
      <c r="AA28" s="342"/>
      <c r="AB28" s="342"/>
      <c r="AC28" s="342"/>
      <c r="AD28" s="342"/>
      <c r="AE28" s="342"/>
      <c r="AF28" s="342"/>
      <c r="AG28" s="342"/>
    </row>
    <row r="29" spans="1:5" ht="25.5">
      <c r="A29" s="159" t="s">
        <v>271</v>
      </c>
      <c r="B29" s="2">
        <f>B10+B11+B12+B13+B24+B26</f>
        <v>-2179</v>
      </c>
      <c r="C29" s="2">
        <f>C10+C11+C12+C13+C24+C26</f>
        <v>389</v>
      </c>
      <c r="D29" s="2">
        <f>D10+D11+D12+D13+D24+D26</f>
        <v>83207</v>
      </c>
      <c r="E29" s="2">
        <f>E10+E11+E12+E13+E24+E26</f>
        <v>15402</v>
      </c>
    </row>
    <row r="30" spans="1:5" ht="12.75">
      <c r="A30" s="159" t="s">
        <v>274</v>
      </c>
      <c r="B30" s="2"/>
      <c r="C30" s="2"/>
      <c r="D30" s="2">
        <f>D29-D13</f>
        <v>81392</v>
      </c>
      <c r="E30" s="2">
        <f>E29-E13</f>
        <v>15402</v>
      </c>
    </row>
    <row r="31" spans="1:5" ht="12.75">
      <c r="A31" s="159" t="s">
        <v>275</v>
      </c>
      <c r="B31" s="2">
        <f>SUM(B4:B26)</f>
        <v>27852</v>
      </c>
      <c r="C31" s="2">
        <f>SUM(C4:C26)</f>
        <v>24816</v>
      </c>
      <c r="D31" s="2">
        <f>SUM(D4:D26)</f>
        <v>210860</v>
      </c>
      <c r="E31" s="2">
        <f>SUM(E4:E26)</f>
        <v>25825</v>
      </c>
    </row>
    <row r="35" spans="1:35" ht="30">
      <c r="A35" s="461" t="s">
        <v>520</v>
      </c>
      <c r="B35" s="462"/>
      <c r="C35" s="462"/>
      <c r="D35" s="462"/>
      <c r="E35" s="463"/>
      <c r="G35" s="461" t="s">
        <v>521</v>
      </c>
      <c r="H35" s="462"/>
      <c r="I35" s="462"/>
      <c r="J35" s="462"/>
      <c r="K35" s="463"/>
      <c r="M35" s="461" t="s">
        <v>484</v>
      </c>
      <c r="N35" s="462"/>
      <c r="O35" s="462"/>
      <c r="P35" s="462"/>
      <c r="Q35" s="463"/>
      <c r="S35" s="461" t="s">
        <v>530</v>
      </c>
      <c r="T35" s="462"/>
      <c r="U35" s="462"/>
      <c r="V35" s="462"/>
      <c r="W35" s="463"/>
      <c r="Y35" s="461" t="s">
        <v>537</v>
      </c>
      <c r="Z35" s="462"/>
      <c r="AA35" s="462"/>
      <c r="AB35" s="462"/>
      <c r="AC35" s="463"/>
      <c r="AE35" s="461" t="s">
        <v>591</v>
      </c>
      <c r="AF35" s="462"/>
      <c r="AG35" s="462"/>
      <c r="AH35" s="462"/>
      <c r="AI35" s="463"/>
    </row>
    <row r="36" spans="1:35" ht="12.75">
      <c r="A36" s="459" t="s">
        <v>256</v>
      </c>
      <c r="B36" s="76" t="s">
        <v>0</v>
      </c>
      <c r="C36" s="76" t="s">
        <v>175</v>
      </c>
      <c r="D36" s="76" t="s">
        <v>1</v>
      </c>
      <c r="E36" s="76" t="s">
        <v>1</v>
      </c>
      <c r="G36" s="459" t="s">
        <v>256</v>
      </c>
      <c r="H36" s="76" t="s">
        <v>0</v>
      </c>
      <c r="I36" s="76" t="s">
        <v>175</v>
      </c>
      <c r="J36" s="76" t="s">
        <v>1</v>
      </c>
      <c r="K36" s="76" t="s">
        <v>1</v>
      </c>
      <c r="M36" s="459" t="s">
        <v>256</v>
      </c>
      <c r="N36" s="76" t="s">
        <v>0</v>
      </c>
      <c r="O36" s="76" t="s">
        <v>175</v>
      </c>
      <c r="P36" s="76" t="s">
        <v>1</v>
      </c>
      <c r="Q36" s="76" t="s">
        <v>1</v>
      </c>
      <c r="S36" s="459" t="s">
        <v>256</v>
      </c>
      <c r="T36" s="76" t="s">
        <v>0</v>
      </c>
      <c r="U36" s="76" t="s">
        <v>175</v>
      </c>
      <c r="V36" s="76" t="s">
        <v>1</v>
      </c>
      <c r="W36" s="76" t="s">
        <v>1</v>
      </c>
      <c r="Y36" s="459" t="s">
        <v>256</v>
      </c>
      <c r="Z36" s="76" t="s">
        <v>0</v>
      </c>
      <c r="AA36" s="76" t="s">
        <v>175</v>
      </c>
      <c r="AB36" s="76" t="s">
        <v>1</v>
      </c>
      <c r="AC36" s="76" t="s">
        <v>1</v>
      </c>
      <c r="AE36" s="459" t="s">
        <v>256</v>
      </c>
      <c r="AF36" s="76" t="s">
        <v>0</v>
      </c>
      <c r="AG36" s="76" t="s">
        <v>175</v>
      </c>
      <c r="AH36" s="76" t="s">
        <v>1</v>
      </c>
      <c r="AI36" s="76" t="s">
        <v>1</v>
      </c>
    </row>
    <row r="37" spans="1:35" ht="12.75">
      <c r="A37" s="460"/>
      <c r="B37" s="77" t="s">
        <v>257</v>
      </c>
      <c r="C37" s="77" t="s">
        <v>257</v>
      </c>
      <c r="D37" s="77" t="s">
        <v>257</v>
      </c>
      <c r="E37" s="77" t="s">
        <v>258</v>
      </c>
      <c r="G37" s="460"/>
      <c r="H37" s="77" t="s">
        <v>257</v>
      </c>
      <c r="I37" s="77" t="s">
        <v>257</v>
      </c>
      <c r="J37" s="77" t="s">
        <v>257</v>
      </c>
      <c r="K37" s="77" t="s">
        <v>258</v>
      </c>
      <c r="M37" s="460"/>
      <c r="N37" s="77" t="s">
        <v>257</v>
      </c>
      <c r="O37" s="77" t="s">
        <v>257</v>
      </c>
      <c r="P37" s="77" t="s">
        <v>257</v>
      </c>
      <c r="Q37" s="77" t="s">
        <v>258</v>
      </c>
      <c r="S37" s="460"/>
      <c r="T37" s="77" t="s">
        <v>257</v>
      </c>
      <c r="U37" s="77" t="s">
        <v>257</v>
      </c>
      <c r="V37" s="77" t="s">
        <v>257</v>
      </c>
      <c r="W37" s="77" t="s">
        <v>258</v>
      </c>
      <c r="Y37" s="460"/>
      <c r="Z37" s="77" t="s">
        <v>257</v>
      </c>
      <c r="AA37" s="77" t="s">
        <v>257</v>
      </c>
      <c r="AB37" s="77" t="s">
        <v>257</v>
      </c>
      <c r="AC37" s="77" t="s">
        <v>258</v>
      </c>
      <c r="AE37" s="460"/>
      <c r="AF37" s="77" t="s">
        <v>257</v>
      </c>
      <c r="AG37" s="77" t="s">
        <v>257</v>
      </c>
      <c r="AH37" s="77" t="s">
        <v>257</v>
      </c>
      <c r="AI37" s="77" t="s">
        <v>258</v>
      </c>
    </row>
    <row r="38" spans="1:35" ht="12.75">
      <c r="A38" s="78" t="s">
        <v>15</v>
      </c>
      <c r="B38" s="249">
        <v>242</v>
      </c>
      <c r="C38" s="249">
        <v>100</v>
      </c>
      <c r="D38" s="249">
        <v>507</v>
      </c>
      <c r="E38" s="249">
        <v>0</v>
      </c>
      <c r="G38" s="78" t="s">
        <v>15</v>
      </c>
      <c r="H38" s="249">
        <v>353</v>
      </c>
      <c r="I38" s="249">
        <v>116</v>
      </c>
      <c r="J38" s="249">
        <v>431</v>
      </c>
      <c r="K38" s="249">
        <v>0</v>
      </c>
      <c r="M38" s="78" t="s">
        <v>15</v>
      </c>
      <c r="N38" s="249">
        <v>811</v>
      </c>
      <c r="O38" s="249">
        <v>122</v>
      </c>
      <c r="P38" s="249">
        <v>250</v>
      </c>
      <c r="Q38" s="249">
        <v>0</v>
      </c>
      <c r="S38" s="78" t="s">
        <v>15</v>
      </c>
      <c r="T38" s="249">
        <v>1116</v>
      </c>
      <c r="U38" s="249">
        <v>84</v>
      </c>
      <c r="V38" s="249">
        <v>125</v>
      </c>
      <c r="W38" s="249">
        <v>0</v>
      </c>
      <c r="Y38" s="78" t="s">
        <v>15</v>
      </c>
      <c r="Z38" s="249">
        <v>1143</v>
      </c>
      <c r="AA38" s="249">
        <v>99</v>
      </c>
      <c r="AB38" s="249">
        <v>112</v>
      </c>
      <c r="AC38" s="249">
        <v>0</v>
      </c>
      <c r="AE38" s="78" t="s">
        <v>15</v>
      </c>
      <c r="AF38" s="249">
        <f aca="true" t="shared" si="0" ref="AF38:AF62">B4</f>
        <v>1419</v>
      </c>
      <c r="AG38" s="249">
        <f aca="true" t="shared" si="1" ref="AG38:AG62">C4</f>
        <v>93</v>
      </c>
      <c r="AH38" s="249">
        <f aca="true" t="shared" si="2" ref="AH38:AH62">D4</f>
        <v>128</v>
      </c>
      <c r="AI38" s="249">
        <f aca="true" t="shared" si="3" ref="AI38:AI62">E4</f>
        <v>0</v>
      </c>
    </row>
    <row r="39" spans="1:35" ht="12.75">
      <c r="A39" s="78" t="s">
        <v>22</v>
      </c>
      <c r="B39" s="249">
        <v>0</v>
      </c>
      <c r="C39" s="249">
        <v>274</v>
      </c>
      <c r="D39" s="249">
        <v>777</v>
      </c>
      <c r="E39" s="249">
        <v>0</v>
      </c>
      <c r="G39" s="78" t="s">
        <v>22</v>
      </c>
      <c r="H39" s="249">
        <v>0</v>
      </c>
      <c r="I39" s="249">
        <v>205</v>
      </c>
      <c r="J39" s="249">
        <v>1278</v>
      </c>
      <c r="K39" s="249">
        <v>0</v>
      </c>
      <c r="M39" s="78" t="s">
        <v>22</v>
      </c>
      <c r="N39" s="249">
        <v>0</v>
      </c>
      <c r="O39" s="249">
        <v>1519</v>
      </c>
      <c r="P39" s="249">
        <v>2684</v>
      </c>
      <c r="Q39" s="249">
        <v>0</v>
      </c>
      <c r="S39" s="78" t="s">
        <v>22</v>
      </c>
      <c r="T39" s="249">
        <v>0</v>
      </c>
      <c r="U39" s="249">
        <v>3028</v>
      </c>
      <c r="V39" s="249">
        <v>3517</v>
      </c>
      <c r="W39" s="249">
        <v>0</v>
      </c>
      <c r="Y39" s="78" t="s">
        <v>22</v>
      </c>
      <c r="Z39" s="249">
        <v>0</v>
      </c>
      <c r="AA39" s="249">
        <v>5199</v>
      </c>
      <c r="AB39" s="249">
        <v>4862</v>
      </c>
      <c r="AC39" s="249">
        <v>0</v>
      </c>
      <c r="AE39" s="78" t="s">
        <v>22</v>
      </c>
      <c r="AF39" s="249">
        <f t="shared" si="0"/>
        <v>0</v>
      </c>
      <c r="AG39" s="249">
        <f t="shared" si="1"/>
        <v>6768</v>
      </c>
      <c r="AH39" s="249">
        <f t="shared" si="2"/>
        <v>5892</v>
      </c>
      <c r="AI39" s="249">
        <f t="shared" si="3"/>
        <v>0</v>
      </c>
    </row>
    <row r="40" spans="1:35" ht="12.75">
      <c r="A40" s="78" t="s">
        <v>16</v>
      </c>
      <c r="B40" s="249">
        <v>265</v>
      </c>
      <c r="C40" s="249">
        <v>0</v>
      </c>
      <c r="D40" s="249">
        <v>3338</v>
      </c>
      <c r="E40" s="249">
        <v>0</v>
      </c>
      <c r="G40" s="78" t="s">
        <v>16</v>
      </c>
      <c r="H40" s="249">
        <v>290</v>
      </c>
      <c r="I40" s="249">
        <v>0</v>
      </c>
      <c r="J40" s="249">
        <v>3333</v>
      </c>
      <c r="K40" s="249">
        <v>0</v>
      </c>
      <c r="M40" s="78" t="s">
        <v>16</v>
      </c>
      <c r="N40" s="249">
        <v>306</v>
      </c>
      <c r="O40" s="249">
        <v>0</v>
      </c>
      <c r="P40" s="249">
        <v>3357</v>
      </c>
      <c r="Q40" s="249">
        <v>0</v>
      </c>
      <c r="S40" s="78" t="s">
        <v>16</v>
      </c>
      <c r="T40" s="249">
        <v>319</v>
      </c>
      <c r="U40" s="249">
        <v>0</v>
      </c>
      <c r="V40" s="249">
        <v>3335</v>
      </c>
      <c r="W40" s="249">
        <v>0</v>
      </c>
      <c r="Y40" s="78" t="s">
        <v>16</v>
      </c>
      <c r="Z40" s="249">
        <v>336</v>
      </c>
      <c r="AA40" s="249">
        <v>0</v>
      </c>
      <c r="AB40" s="249">
        <v>3313</v>
      </c>
      <c r="AC40" s="249">
        <v>0</v>
      </c>
      <c r="AE40" s="78" t="s">
        <v>16</v>
      </c>
      <c r="AF40" s="249">
        <f t="shared" si="0"/>
        <v>354</v>
      </c>
      <c r="AG40" s="249">
        <f t="shared" si="1"/>
        <v>0</v>
      </c>
      <c r="AH40" s="249">
        <f t="shared" si="2"/>
        <v>3298</v>
      </c>
      <c r="AI40" s="249">
        <f t="shared" si="3"/>
        <v>0</v>
      </c>
    </row>
    <row r="41" spans="1:35" ht="12.75">
      <c r="A41" s="78" t="s">
        <v>19</v>
      </c>
      <c r="B41" s="249">
        <v>0</v>
      </c>
      <c r="C41" s="249">
        <v>0</v>
      </c>
      <c r="D41" s="249">
        <v>1391</v>
      </c>
      <c r="E41" s="249">
        <v>0</v>
      </c>
      <c r="G41" s="78" t="s">
        <v>19</v>
      </c>
      <c r="H41" s="249">
        <v>0</v>
      </c>
      <c r="I41" s="249">
        <v>0</v>
      </c>
      <c r="J41" s="249">
        <v>1479</v>
      </c>
      <c r="K41" s="249">
        <v>0</v>
      </c>
      <c r="M41" s="78" t="s">
        <v>19</v>
      </c>
      <c r="N41" s="249">
        <v>0</v>
      </c>
      <c r="O41" s="249">
        <v>0</v>
      </c>
      <c r="P41" s="249">
        <v>1481</v>
      </c>
      <c r="Q41" s="249">
        <v>0</v>
      </c>
      <c r="S41" s="78" t="s">
        <v>19</v>
      </c>
      <c r="T41" s="249">
        <v>0</v>
      </c>
      <c r="U41" s="249">
        <v>0</v>
      </c>
      <c r="V41" s="249">
        <v>1422</v>
      </c>
      <c r="W41" s="249">
        <v>0</v>
      </c>
      <c r="Y41" s="78" t="s">
        <v>19</v>
      </c>
      <c r="Z41" s="249">
        <v>0</v>
      </c>
      <c r="AA41" s="249">
        <v>0</v>
      </c>
      <c r="AB41" s="249">
        <v>1351</v>
      </c>
      <c r="AC41" s="249">
        <v>0</v>
      </c>
      <c r="AE41" s="78" t="s">
        <v>19</v>
      </c>
      <c r="AF41" s="249">
        <f t="shared" si="0"/>
        <v>0</v>
      </c>
      <c r="AG41" s="249">
        <f t="shared" si="1"/>
        <v>0</v>
      </c>
      <c r="AH41" s="249">
        <f t="shared" si="2"/>
        <v>1288</v>
      </c>
      <c r="AI41" s="249">
        <f t="shared" si="3"/>
        <v>0</v>
      </c>
    </row>
    <row r="42" spans="1:35" ht="12.75">
      <c r="A42" s="78" t="s">
        <v>18</v>
      </c>
      <c r="B42" s="249">
        <v>37</v>
      </c>
      <c r="C42" s="249">
        <v>0</v>
      </c>
      <c r="D42" s="249">
        <v>81210</v>
      </c>
      <c r="E42" s="249">
        <v>0</v>
      </c>
      <c r="G42" s="78" t="s">
        <v>18</v>
      </c>
      <c r="H42" s="249">
        <v>39</v>
      </c>
      <c r="I42" s="249">
        <v>0</v>
      </c>
      <c r="J42" s="249">
        <v>85199</v>
      </c>
      <c r="K42" s="249">
        <v>0</v>
      </c>
      <c r="M42" s="78" t="s">
        <v>18</v>
      </c>
      <c r="N42" s="249">
        <v>42</v>
      </c>
      <c r="O42" s="249">
        <v>0</v>
      </c>
      <c r="P42" s="249">
        <v>78069</v>
      </c>
      <c r="Q42" s="249">
        <v>0</v>
      </c>
      <c r="S42" s="78" t="s">
        <v>18</v>
      </c>
      <c r="T42" s="249">
        <v>43</v>
      </c>
      <c r="U42" s="249">
        <v>0</v>
      </c>
      <c r="V42" s="249">
        <v>73700</v>
      </c>
      <c r="W42" s="249">
        <v>0</v>
      </c>
      <c r="Y42" s="78" t="s">
        <v>18</v>
      </c>
      <c r="Z42" s="249">
        <v>55</v>
      </c>
      <c r="AA42" s="249">
        <v>0</v>
      </c>
      <c r="AB42" s="249">
        <v>75192</v>
      </c>
      <c r="AC42" s="249">
        <v>0</v>
      </c>
      <c r="AE42" s="78" t="s">
        <v>18</v>
      </c>
      <c r="AF42" s="249">
        <f t="shared" si="0"/>
        <v>345</v>
      </c>
      <c r="AG42" s="249">
        <f t="shared" si="1"/>
        <v>0</v>
      </c>
      <c r="AH42" s="249">
        <f t="shared" si="2"/>
        <v>74330</v>
      </c>
      <c r="AI42" s="249">
        <f t="shared" si="3"/>
        <v>0</v>
      </c>
    </row>
    <row r="43" spans="1:35" ht="12.75">
      <c r="A43" s="78" t="s">
        <v>14</v>
      </c>
      <c r="B43" s="249">
        <v>14023</v>
      </c>
      <c r="C43" s="249">
        <v>17</v>
      </c>
      <c r="D43" s="249">
        <v>1402</v>
      </c>
      <c r="E43" s="249">
        <v>0</v>
      </c>
      <c r="G43" s="78" t="s">
        <v>14</v>
      </c>
      <c r="H43" s="249">
        <v>14373</v>
      </c>
      <c r="I43" s="249">
        <v>16</v>
      </c>
      <c r="J43" s="249">
        <v>1446</v>
      </c>
      <c r="K43" s="249">
        <v>0</v>
      </c>
      <c r="M43" s="78" t="s">
        <v>14</v>
      </c>
      <c r="N43" s="249">
        <v>14359</v>
      </c>
      <c r="O43" s="249">
        <v>17</v>
      </c>
      <c r="P43" s="249">
        <v>1443</v>
      </c>
      <c r="Q43" s="249">
        <v>0</v>
      </c>
      <c r="S43" s="78" t="s">
        <v>14</v>
      </c>
      <c r="T43" s="249">
        <v>14301</v>
      </c>
      <c r="U43" s="249">
        <v>12</v>
      </c>
      <c r="V43" s="249">
        <v>1366</v>
      </c>
      <c r="W43" s="249">
        <v>0</v>
      </c>
      <c r="Y43" s="78" t="s">
        <v>14</v>
      </c>
      <c r="Z43" s="249">
        <v>14762</v>
      </c>
      <c r="AA43" s="249">
        <v>14</v>
      </c>
      <c r="AB43" s="249">
        <v>1422</v>
      </c>
      <c r="AC43" s="249">
        <v>0</v>
      </c>
      <c r="AE43" s="78" t="s">
        <v>14</v>
      </c>
      <c r="AF43" s="249">
        <f t="shared" si="0"/>
        <v>14946</v>
      </c>
      <c r="AG43" s="249">
        <f t="shared" si="1"/>
        <v>24</v>
      </c>
      <c r="AH43" s="249">
        <f t="shared" si="2"/>
        <v>1471</v>
      </c>
      <c r="AI43" s="249">
        <f t="shared" si="3"/>
        <v>0</v>
      </c>
    </row>
    <row r="44" spans="1:35" ht="12.75">
      <c r="A44" s="78" t="s">
        <v>259</v>
      </c>
      <c r="B44" s="249">
        <v>112</v>
      </c>
      <c r="C44" s="249">
        <v>-40</v>
      </c>
      <c r="D44" s="249">
        <v>17979</v>
      </c>
      <c r="E44" s="249">
        <v>0</v>
      </c>
      <c r="G44" s="78" t="s">
        <v>259</v>
      </c>
      <c r="H44" s="249">
        <v>-1287</v>
      </c>
      <c r="I44" s="249">
        <v>201</v>
      </c>
      <c r="J44" s="249">
        <v>13809</v>
      </c>
      <c r="K44" s="249">
        <v>0</v>
      </c>
      <c r="M44" s="78" t="s">
        <v>259</v>
      </c>
      <c r="N44" s="249">
        <v>-1967</v>
      </c>
      <c r="O44" s="249">
        <v>103</v>
      </c>
      <c r="P44" s="249">
        <v>10992</v>
      </c>
      <c r="Q44" s="249">
        <v>0</v>
      </c>
      <c r="S44" s="78" t="s">
        <v>259</v>
      </c>
      <c r="T44" s="249">
        <v>-3023</v>
      </c>
      <c r="U44" s="249">
        <v>214</v>
      </c>
      <c r="V44" s="249">
        <v>8934</v>
      </c>
      <c r="W44" s="249">
        <v>0</v>
      </c>
      <c r="Y44" s="78" t="s">
        <v>259</v>
      </c>
      <c r="Z44" s="249">
        <v>-2037</v>
      </c>
      <c r="AA44" s="249">
        <v>217</v>
      </c>
      <c r="AB44" s="249">
        <v>9776</v>
      </c>
      <c r="AC44" s="249">
        <v>0</v>
      </c>
      <c r="AE44" s="78" t="s">
        <v>259</v>
      </c>
      <c r="AF44" s="249">
        <f t="shared" si="0"/>
        <v>-2181</v>
      </c>
      <c r="AG44" s="249">
        <f t="shared" si="1"/>
        <v>122</v>
      </c>
      <c r="AH44" s="249">
        <f t="shared" si="2"/>
        <v>9370</v>
      </c>
      <c r="AI44" s="249">
        <f t="shared" si="3"/>
        <v>0</v>
      </c>
    </row>
    <row r="45" spans="1:35" ht="12.75">
      <c r="A45" s="78" t="s">
        <v>260</v>
      </c>
      <c r="B45" s="249">
        <v>0</v>
      </c>
      <c r="C45" s="249">
        <v>53</v>
      </c>
      <c r="D45" s="249">
        <v>27271</v>
      </c>
      <c r="E45" s="249">
        <v>144</v>
      </c>
      <c r="G45" s="78" t="s">
        <v>260</v>
      </c>
      <c r="H45" s="249">
        <v>0</v>
      </c>
      <c r="I45" s="249">
        <v>91</v>
      </c>
      <c r="J45" s="249">
        <v>33956</v>
      </c>
      <c r="K45" s="249">
        <v>622</v>
      </c>
      <c r="M45" s="78" t="s">
        <v>260</v>
      </c>
      <c r="N45" s="249">
        <v>0</v>
      </c>
      <c r="O45" s="249">
        <v>70</v>
      </c>
      <c r="P45" s="249">
        <v>39772</v>
      </c>
      <c r="Q45" s="249">
        <v>2061</v>
      </c>
      <c r="S45" s="78" t="s">
        <v>260</v>
      </c>
      <c r="T45" s="249">
        <v>0</v>
      </c>
      <c r="U45" s="249">
        <v>-96</v>
      </c>
      <c r="V45" s="249">
        <v>37580</v>
      </c>
      <c r="W45" s="249">
        <v>2536</v>
      </c>
      <c r="Y45" s="78" t="s">
        <v>260</v>
      </c>
      <c r="Z45" s="249">
        <v>-11</v>
      </c>
      <c r="AA45" s="249">
        <v>171</v>
      </c>
      <c r="AB45" s="249">
        <v>49421</v>
      </c>
      <c r="AC45" s="249">
        <v>11052</v>
      </c>
      <c r="AE45" s="78" t="s">
        <v>260</v>
      </c>
      <c r="AF45" s="249">
        <f t="shared" si="0"/>
        <v>-13</v>
      </c>
      <c r="AG45" s="249">
        <f t="shared" si="1"/>
        <v>126</v>
      </c>
      <c r="AH45" s="249">
        <f t="shared" si="2"/>
        <v>45949</v>
      </c>
      <c r="AI45" s="249">
        <f t="shared" si="3"/>
        <v>15096</v>
      </c>
    </row>
    <row r="46" spans="1:35" ht="12.75">
      <c r="A46" s="78" t="s">
        <v>261</v>
      </c>
      <c r="B46" s="249">
        <v>0</v>
      </c>
      <c r="C46" s="249">
        <v>0</v>
      </c>
      <c r="D46" s="249">
        <v>27709</v>
      </c>
      <c r="E46" s="249">
        <v>181</v>
      </c>
      <c r="G46" s="78" t="s">
        <v>261</v>
      </c>
      <c r="H46" s="249">
        <v>0</v>
      </c>
      <c r="I46" s="249">
        <v>0</v>
      </c>
      <c r="J46" s="249">
        <v>29155</v>
      </c>
      <c r="K46" s="249">
        <v>198</v>
      </c>
      <c r="M46" s="78" t="s">
        <v>261</v>
      </c>
      <c r="N46" s="249">
        <v>0</v>
      </c>
      <c r="O46" s="249">
        <v>0</v>
      </c>
      <c r="P46" s="249">
        <v>29058</v>
      </c>
      <c r="Q46" s="249">
        <v>219</v>
      </c>
      <c r="S46" s="78" t="s">
        <v>261</v>
      </c>
      <c r="T46" s="249">
        <v>0</v>
      </c>
      <c r="U46" s="249">
        <v>0</v>
      </c>
      <c r="V46" s="249">
        <v>26657</v>
      </c>
      <c r="W46" s="249">
        <v>237</v>
      </c>
      <c r="Y46" s="78" t="s">
        <v>261</v>
      </c>
      <c r="Z46" s="249">
        <v>0</v>
      </c>
      <c r="AA46" s="249">
        <v>0</v>
      </c>
      <c r="AB46" s="249">
        <v>26225</v>
      </c>
      <c r="AC46" s="249">
        <v>265</v>
      </c>
      <c r="AE46" s="78" t="s">
        <v>261</v>
      </c>
      <c r="AF46" s="249">
        <f t="shared" si="0"/>
        <v>0</v>
      </c>
      <c r="AG46" s="249">
        <f t="shared" si="1"/>
        <v>0</v>
      </c>
      <c r="AH46" s="249">
        <f t="shared" si="2"/>
        <v>24975</v>
      </c>
      <c r="AI46" s="249">
        <f t="shared" si="3"/>
        <v>287</v>
      </c>
    </row>
    <row r="47" spans="1:35" ht="12.75">
      <c r="A47" s="78" t="s">
        <v>262</v>
      </c>
      <c r="B47" s="249">
        <v>0</v>
      </c>
      <c r="C47" s="249">
        <v>59</v>
      </c>
      <c r="D47" s="249">
        <v>2559</v>
      </c>
      <c r="E47" s="249">
        <v>0</v>
      </c>
      <c r="G47" s="78" t="s">
        <v>262</v>
      </c>
      <c r="H47" s="249">
        <v>0</v>
      </c>
      <c r="I47" s="249">
        <v>71</v>
      </c>
      <c r="J47" s="249">
        <v>2382</v>
      </c>
      <c r="K47" s="249">
        <v>0</v>
      </c>
      <c r="M47" s="78" t="s">
        <v>262</v>
      </c>
      <c r="N47" s="249">
        <v>0</v>
      </c>
      <c r="O47" s="249">
        <v>64</v>
      </c>
      <c r="P47" s="249">
        <v>2956</v>
      </c>
      <c r="Q47" s="249">
        <v>0</v>
      </c>
      <c r="S47" s="78" t="s">
        <v>262</v>
      </c>
      <c r="T47" s="249">
        <v>0</v>
      </c>
      <c r="U47" s="249">
        <v>54</v>
      </c>
      <c r="V47" s="249">
        <v>2419</v>
      </c>
      <c r="W47" s="249">
        <v>0</v>
      </c>
      <c r="Y47" s="78" t="s">
        <v>262</v>
      </c>
      <c r="Z47" s="249">
        <v>0</v>
      </c>
      <c r="AA47" s="249">
        <v>69</v>
      </c>
      <c r="AB47" s="249">
        <v>2338</v>
      </c>
      <c r="AC47" s="249">
        <v>0</v>
      </c>
      <c r="AE47" s="78" t="s">
        <v>262</v>
      </c>
      <c r="AF47" s="249">
        <f t="shared" si="0"/>
        <v>0</v>
      </c>
      <c r="AG47" s="249">
        <f t="shared" si="1"/>
        <v>44</v>
      </c>
      <c r="AH47" s="249">
        <f t="shared" si="2"/>
        <v>1815</v>
      </c>
      <c r="AI47" s="249">
        <f t="shared" si="3"/>
        <v>0</v>
      </c>
    </row>
    <row r="48" spans="1:35" ht="12.75">
      <c r="A48" s="78" t="s">
        <v>21</v>
      </c>
      <c r="B48" s="249">
        <v>0</v>
      </c>
      <c r="C48" s="249">
        <v>0</v>
      </c>
      <c r="D48" s="249">
        <v>20684</v>
      </c>
      <c r="E48" s="249">
        <v>9423</v>
      </c>
      <c r="G48" s="78" t="s">
        <v>21</v>
      </c>
      <c r="H48" s="249">
        <v>0</v>
      </c>
      <c r="I48" s="249">
        <v>0</v>
      </c>
      <c r="J48" s="249">
        <v>20898</v>
      </c>
      <c r="K48" s="249">
        <v>9522</v>
      </c>
      <c r="M48" s="78" t="s">
        <v>21</v>
      </c>
      <c r="N48" s="249">
        <v>0</v>
      </c>
      <c r="O48" s="249">
        <v>0</v>
      </c>
      <c r="P48" s="249">
        <v>20414</v>
      </c>
      <c r="Q48" s="249">
        <v>9633</v>
      </c>
      <c r="S48" s="78" t="s">
        <v>21</v>
      </c>
      <c r="T48" s="249">
        <v>0</v>
      </c>
      <c r="U48" s="249">
        <v>0</v>
      </c>
      <c r="V48" s="249">
        <v>19564</v>
      </c>
      <c r="W48" s="249">
        <v>9398</v>
      </c>
      <c r="Y48" s="78" t="s">
        <v>21</v>
      </c>
      <c r="Z48" s="249">
        <v>0</v>
      </c>
      <c r="AA48" s="249">
        <v>0</v>
      </c>
      <c r="AB48" s="249">
        <v>19794</v>
      </c>
      <c r="AC48" s="249">
        <v>10554</v>
      </c>
      <c r="AE48" s="78" t="s">
        <v>21</v>
      </c>
      <c r="AF48" s="249">
        <f t="shared" si="0"/>
        <v>0</v>
      </c>
      <c r="AG48" s="249">
        <f t="shared" si="1"/>
        <v>0</v>
      </c>
      <c r="AH48" s="249">
        <f t="shared" si="2"/>
        <v>19155</v>
      </c>
      <c r="AI48" s="249">
        <f t="shared" si="3"/>
        <v>10381</v>
      </c>
    </row>
    <row r="49" spans="1:35" ht="12.75">
      <c r="A49" s="78" t="s">
        <v>24</v>
      </c>
      <c r="B49" s="249">
        <v>0</v>
      </c>
      <c r="C49" s="249">
        <v>1137</v>
      </c>
      <c r="D49" s="249">
        <v>0</v>
      </c>
      <c r="E49" s="249">
        <v>0</v>
      </c>
      <c r="G49" s="78" t="s">
        <v>24</v>
      </c>
      <c r="H49" s="249">
        <v>0</v>
      </c>
      <c r="I49" s="249">
        <v>1328</v>
      </c>
      <c r="J49" s="249">
        <v>0</v>
      </c>
      <c r="K49" s="249">
        <v>0</v>
      </c>
      <c r="M49" s="78" t="s">
        <v>24</v>
      </c>
      <c r="N49" s="249">
        <v>0</v>
      </c>
      <c r="O49" s="249">
        <v>5265</v>
      </c>
      <c r="P49" s="249">
        <v>0</v>
      </c>
      <c r="Q49" s="249">
        <v>0</v>
      </c>
      <c r="S49" s="78" t="s">
        <v>24</v>
      </c>
      <c r="T49" s="249">
        <v>0</v>
      </c>
      <c r="U49" s="249">
        <v>4979</v>
      </c>
      <c r="V49" s="249">
        <v>0</v>
      </c>
      <c r="W49" s="249">
        <v>0</v>
      </c>
      <c r="Y49" s="78" t="s">
        <v>24</v>
      </c>
      <c r="Z49" s="249">
        <v>0</v>
      </c>
      <c r="AA49" s="249">
        <v>5271</v>
      </c>
      <c r="AB49" s="249">
        <v>0</v>
      </c>
      <c r="AC49" s="249">
        <v>0</v>
      </c>
      <c r="AE49" s="78" t="s">
        <v>24</v>
      </c>
      <c r="AF49" s="249">
        <f t="shared" si="0"/>
        <v>0</v>
      </c>
      <c r="AG49" s="249">
        <f t="shared" si="1"/>
        <v>9133</v>
      </c>
      <c r="AH49" s="249">
        <f t="shared" si="2"/>
        <v>25</v>
      </c>
      <c r="AI49" s="249">
        <f t="shared" si="3"/>
        <v>0</v>
      </c>
    </row>
    <row r="50" spans="1:35" ht="12.75">
      <c r="A50" s="78" t="s">
        <v>20</v>
      </c>
      <c r="B50" s="249">
        <v>0</v>
      </c>
      <c r="C50" s="249">
        <v>0</v>
      </c>
      <c r="D50" s="249">
        <v>6056</v>
      </c>
      <c r="E50" s="249">
        <v>20</v>
      </c>
      <c r="G50" s="78" t="s">
        <v>20</v>
      </c>
      <c r="H50" s="249">
        <v>0</v>
      </c>
      <c r="I50" s="249">
        <v>0</v>
      </c>
      <c r="J50" s="249">
        <v>6448</v>
      </c>
      <c r="K50" s="249">
        <v>25</v>
      </c>
      <c r="M50" s="78" t="s">
        <v>20</v>
      </c>
      <c r="N50" s="249">
        <v>0</v>
      </c>
      <c r="O50" s="249">
        <v>0</v>
      </c>
      <c r="P50" s="249">
        <v>6596</v>
      </c>
      <c r="Q50" s="249">
        <v>35</v>
      </c>
      <c r="S50" s="78" t="s">
        <v>20</v>
      </c>
      <c r="T50" s="249">
        <v>0</v>
      </c>
      <c r="U50" s="249">
        <v>0</v>
      </c>
      <c r="V50" s="249">
        <v>6099</v>
      </c>
      <c r="W50" s="249">
        <v>25</v>
      </c>
      <c r="Y50" s="78" t="s">
        <v>20</v>
      </c>
      <c r="Z50" s="249">
        <v>0</v>
      </c>
      <c r="AA50" s="249">
        <v>0</v>
      </c>
      <c r="AB50" s="249">
        <v>7691</v>
      </c>
      <c r="AC50" s="249">
        <v>43</v>
      </c>
      <c r="AE50" s="78" t="s">
        <v>20</v>
      </c>
      <c r="AF50" s="249">
        <f t="shared" si="0"/>
        <v>0</v>
      </c>
      <c r="AG50" s="249">
        <f t="shared" si="1"/>
        <v>0</v>
      </c>
      <c r="AH50" s="249">
        <f t="shared" si="2"/>
        <v>7335</v>
      </c>
      <c r="AI50" s="249">
        <f t="shared" si="3"/>
        <v>42</v>
      </c>
    </row>
    <row r="51" spans="1:35" ht="12.75">
      <c r="A51" s="78" t="s">
        <v>5</v>
      </c>
      <c r="B51" s="249">
        <v>59</v>
      </c>
      <c r="C51" s="249">
        <v>0</v>
      </c>
      <c r="D51" s="249">
        <v>3419</v>
      </c>
      <c r="E51" s="249">
        <v>0</v>
      </c>
      <c r="G51" s="78" t="s">
        <v>5</v>
      </c>
      <c r="H51" s="249">
        <v>58</v>
      </c>
      <c r="I51" s="249">
        <v>0</v>
      </c>
      <c r="J51" s="249">
        <v>3581</v>
      </c>
      <c r="K51" s="249">
        <v>0</v>
      </c>
      <c r="M51" s="78" t="s">
        <v>5</v>
      </c>
      <c r="N51" s="249">
        <v>61</v>
      </c>
      <c r="O51" s="249">
        <v>0</v>
      </c>
      <c r="P51" s="249">
        <v>3744</v>
      </c>
      <c r="Q51" s="249">
        <v>0</v>
      </c>
      <c r="S51" s="78" t="s">
        <v>5</v>
      </c>
      <c r="T51" s="249">
        <v>64</v>
      </c>
      <c r="U51" s="249">
        <v>0</v>
      </c>
      <c r="V51" s="249">
        <v>3845</v>
      </c>
      <c r="W51" s="249">
        <v>0</v>
      </c>
      <c r="Y51" s="78" t="s">
        <v>5</v>
      </c>
      <c r="Z51" s="249">
        <v>70</v>
      </c>
      <c r="AA51" s="249">
        <v>0</v>
      </c>
      <c r="AB51" s="249">
        <v>3971</v>
      </c>
      <c r="AC51" s="249">
        <v>0</v>
      </c>
      <c r="AE51" s="78" t="s">
        <v>5</v>
      </c>
      <c r="AF51" s="249">
        <f t="shared" si="0"/>
        <v>75</v>
      </c>
      <c r="AG51" s="249">
        <f t="shared" si="1"/>
        <v>0</v>
      </c>
      <c r="AH51" s="249">
        <f t="shared" si="2"/>
        <v>4124</v>
      </c>
      <c r="AI51" s="249">
        <f t="shared" si="3"/>
        <v>0</v>
      </c>
    </row>
    <row r="52" spans="1:35" ht="12.75">
      <c r="A52" s="78" t="s">
        <v>23</v>
      </c>
      <c r="B52" s="249">
        <v>0</v>
      </c>
      <c r="C52" s="249">
        <v>-274</v>
      </c>
      <c r="D52" s="249">
        <v>500</v>
      </c>
      <c r="E52" s="249">
        <v>0</v>
      </c>
      <c r="G52" s="78" t="s">
        <v>23</v>
      </c>
      <c r="H52" s="249">
        <v>0</v>
      </c>
      <c r="I52" s="249">
        <v>-205</v>
      </c>
      <c r="J52" s="249">
        <v>556</v>
      </c>
      <c r="K52" s="249">
        <v>0</v>
      </c>
      <c r="M52" s="78" t="s">
        <v>23</v>
      </c>
      <c r="N52" s="249">
        <v>0</v>
      </c>
      <c r="O52" s="249">
        <v>-1462</v>
      </c>
      <c r="P52" s="249">
        <v>702</v>
      </c>
      <c r="Q52" s="249">
        <v>0</v>
      </c>
      <c r="S52" s="78" t="s">
        <v>23</v>
      </c>
      <c r="T52" s="249">
        <v>0</v>
      </c>
      <c r="U52" s="249">
        <v>-1910</v>
      </c>
      <c r="V52" s="249">
        <v>1028</v>
      </c>
      <c r="W52" s="249">
        <v>0</v>
      </c>
      <c r="Y52" s="78" t="s">
        <v>23</v>
      </c>
      <c r="Z52" s="249">
        <v>0</v>
      </c>
      <c r="AA52" s="249">
        <v>-11</v>
      </c>
      <c r="AB52" s="249">
        <v>1681</v>
      </c>
      <c r="AC52" s="249">
        <v>0</v>
      </c>
      <c r="AE52" s="78" t="s">
        <v>23</v>
      </c>
      <c r="AF52" s="249">
        <f t="shared" si="0"/>
        <v>0</v>
      </c>
      <c r="AG52" s="249">
        <f t="shared" si="1"/>
        <v>2155</v>
      </c>
      <c r="AH52" s="249">
        <f t="shared" si="2"/>
        <v>2991</v>
      </c>
      <c r="AI52" s="249">
        <f t="shared" si="3"/>
        <v>0</v>
      </c>
    </row>
    <row r="53" spans="1:35" ht="12.75">
      <c r="A53" s="78" t="s">
        <v>17</v>
      </c>
      <c r="B53" s="249">
        <v>10790</v>
      </c>
      <c r="C53" s="249">
        <v>5351</v>
      </c>
      <c r="D53" s="249">
        <v>1347</v>
      </c>
      <c r="E53" s="249">
        <v>0</v>
      </c>
      <c r="G53" s="78" t="s">
        <v>17</v>
      </c>
      <c r="H53" s="249">
        <v>11532</v>
      </c>
      <c r="I53" s="249">
        <v>5781</v>
      </c>
      <c r="J53" s="249">
        <v>1202</v>
      </c>
      <c r="K53" s="249">
        <v>0</v>
      </c>
      <c r="M53" s="78" t="s">
        <v>17</v>
      </c>
      <c r="N53" s="249">
        <v>13679</v>
      </c>
      <c r="O53" s="249">
        <v>7227</v>
      </c>
      <c r="P53" s="249">
        <v>1372</v>
      </c>
      <c r="Q53" s="249">
        <v>0</v>
      </c>
      <c r="S53" s="78" t="s">
        <v>17</v>
      </c>
      <c r="T53" s="249">
        <v>10494</v>
      </c>
      <c r="U53" s="249">
        <v>4398</v>
      </c>
      <c r="V53" s="249">
        <v>1040</v>
      </c>
      <c r="W53" s="249">
        <v>0</v>
      </c>
      <c r="Y53" s="78" t="s">
        <v>17</v>
      </c>
      <c r="Z53" s="249">
        <v>11240</v>
      </c>
      <c r="AA53" s="249">
        <v>5527</v>
      </c>
      <c r="AB53" s="249">
        <v>1055</v>
      </c>
      <c r="AC53" s="249">
        <v>0</v>
      </c>
      <c r="AE53" s="78" t="s">
        <v>17</v>
      </c>
      <c r="AF53" s="249">
        <f t="shared" si="0"/>
        <v>11613</v>
      </c>
      <c r="AG53" s="249">
        <f t="shared" si="1"/>
        <v>5748</v>
      </c>
      <c r="AH53" s="249">
        <f t="shared" si="2"/>
        <v>1030</v>
      </c>
      <c r="AI53" s="249">
        <f t="shared" si="3"/>
        <v>0</v>
      </c>
    </row>
    <row r="54" spans="1:35" ht="12.75">
      <c r="A54" s="78" t="s">
        <v>263</v>
      </c>
      <c r="B54" s="249">
        <v>0</v>
      </c>
      <c r="C54" s="249">
        <v>0</v>
      </c>
      <c r="D54" s="249">
        <v>1759</v>
      </c>
      <c r="E54" s="249">
        <v>0</v>
      </c>
      <c r="G54" s="78" t="s">
        <v>263</v>
      </c>
      <c r="H54" s="249">
        <v>0</v>
      </c>
      <c r="I54" s="249">
        <v>0</v>
      </c>
      <c r="J54" s="249">
        <v>1773</v>
      </c>
      <c r="K54" s="249">
        <v>0</v>
      </c>
      <c r="M54" s="78" t="s">
        <v>263</v>
      </c>
      <c r="N54" s="249">
        <v>0</v>
      </c>
      <c r="O54" s="249">
        <v>0</v>
      </c>
      <c r="P54" s="249">
        <v>1709</v>
      </c>
      <c r="Q54" s="249">
        <v>0</v>
      </c>
      <c r="S54" s="78" t="s">
        <v>263</v>
      </c>
      <c r="T54" s="249">
        <v>0</v>
      </c>
      <c r="U54" s="249">
        <v>0</v>
      </c>
      <c r="V54" s="249">
        <v>1647</v>
      </c>
      <c r="W54" s="249">
        <v>0</v>
      </c>
      <c r="Y54" s="78" t="s">
        <v>263</v>
      </c>
      <c r="Z54" s="249">
        <v>0</v>
      </c>
      <c r="AA54" s="249">
        <v>0</v>
      </c>
      <c r="AB54" s="249">
        <v>1663</v>
      </c>
      <c r="AC54" s="249">
        <v>0</v>
      </c>
      <c r="AE54" s="78" t="s">
        <v>263</v>
      </c>
      <c r="AF54" s="249">
        <f t="shared" si="0"/>
        <v>0</v>
      </c>
      <c r="AG54" s="249">
        <f t="shared" si="1"/>
        <v>0</v>
      </c>
      <c r="AH54" s="249">
        <f t="shared" si="2"/>
        <v>1671</v>
      </c>
      <c r="AI54" s="249">
        <f t="shared" si="3"/>
        <v>0</v>
      </c>
    </row>
    <row r="55" spans="1:35" ht="12.75">
      <c r="A55" s="78" t="s">
        <v>264</v>
      </c>
      <c r="B55" s="249">
        <v>1325</v>
      </c>
      <c r="C55" s="249">
        <v>0</v>
      </c>
      <c r="D55" s="249">
        <v>0</v>
      </c>
      <c r="E55" s="249">
        <v>0</v>
      </c>
      <c r="G55" s="78" t="s">
        <v>264</v>
      </c>
      <c r="H55" s="249">
        <v>1342</v>
      </c>
      <c r="I55" s="249">
        <v>0</v>
      </c>
      <c r="J55" s="249">
        <v>0</v>
      </c>
      <c r="K55" s="249">
        <v>0</v>
      </c>
      <c r="M55" s="78" t="s">
        <v>264</v>
      </c>
      <c r="N55" s="249">
        <v>1273</v>
      </c>
      <c r="O55" s="249">
        <v>0</v>
      </c>
      <c r="P55" s="249">
        <v>0</v>
      </c>
      <c r="Q55" s="249">
        <v>0</v>
      </c>
      <c r="S55" s="78" t="s">
        <v>264</v>
      </c>
      <c r="T55" s="249">
        <v>1262</v>
      </c>
      <c r="U55" s="249">
        <v>0</v>
      </c>
      <c r="V55" s="249">
        <v>0</v>
      </c>
      <c r="W55" s="249">
        <v>0</v>
      </c>
      <c r="Y55" s="78" t="s">
        <v>264</v>
      </c>
      <c r="Z55" s="249">
        <v>1271</v>
      </c>
      <c r="AA55" s="249">
        <v>0</v>
      </c>
      <c r="AB55" s="249">
        <v>0</v>
      </c>
      <c r="AC55" s="249">
        <v>0</v>
      </c>
      <c r="AE55" s="78" t="s">
        <v>264</v>
      </c>
      <c r="AF55" s="249">
        <f t="shared" si="0"/>
        <v>1279</v>
      </c>
      <c r="AG55" s="249">
        <f t="shared" si="1"/>
        <v>0</v>
      </c>
      <c r="AH55" s="249">
        <f t="shared" si="2"/>
        <v>0</v>
      </c>
      <c r="AI55" s="249">
        <f t="shared" si="3"/>
        <v>0</v>
      </c>
    </row>
    <row r="56" spans="1:35" ht="12.75">
      <c r="A56" s="78" t="s">
        <v>265</v>
      </c>
      <c r="B56" s="249">
        <v>0</v>
      </c>
      <c r="C56" s="249">
        <v>542</v>
      </c>
      <c r="D56" s="249">
        <v>0</v>
      </c>
      <c r="E56" s="249">
        <v>0</v>
      </c>
      <c r="G56" s="78" t="s">
        <v>265</v>
      </c>
      <c r="H56" s="249">
        <v>0</v>
      </c>
      <c r="I56" s="249">
        <v>496</v>
      </c>
      <c r="J56" s="249">
        <v>0</v>
      </c>
      <c r="K56" s="249">
        <v>0</v>
      </c>
      <c r="M56" s="78" t="s">
        <v>265</v>
      </c>
      <c r="N56" s="249">
        <v>0</v>
      </c>
      <c r="O56" s="249">
        <v>510</v>
      </c>
      <c r="P56" s="249">
        <v>0</v>
      </c>
      <c r="Q56" s="249">
        <v>0</v>
      </c>
      <c r="S56" s="78" t="s">
        <v>265</v>
      </c>
      <c r="T56" s="249">
        <v>0</v>
      </c>
      <c r="U56" s="249">
        <v>531</v>
      </c>
      <c r="V56" s="249">
        <v>0</v>
      </c>
      <c r="W56" s="249">
        <v>0</v>
      </c>
      <c r="Y56" s="78" t="s">
        <v>265</v>
      </c>
      <c r="Z56" s="249">
        <v>0</v>
      </c>
      <c r="AA56" s="249">
        <v>529</v>
      </c>
      <c r="AB56" s="249">
        <v>0</v>
      </c>
      <c r="AC56" s="249">
        <v>0</v>
      </c>
      <c r="AE56" s="78" t="s">
        <v>265</v>
      </c>
      <c r="AF56" s="249">
        <f t="shared" si="0"/>
        <v>0</v>
      </c>
      <c r="AG56" s="249">
        <f t="shared" si="1"/>
        <v>506</v>
      </c>
      <c r="AH56" s="249">
        <f t="shared" si="2"/>
        <v>0</v>
      </c>
      <c r="AI56" s="249">
        <f t="shared" si="3"/>
        <v>0</v>
      </c>
    </row>
    <row r="57" spans="1:35" ht="12.75">
      <c r="A57" s="78" t="s">
        <v>266</v>
      </c>
      <c r="B57" s="249">
        <v>0</v>
      </c>
      <c r="C57" s="249">
        <v>0</v>
      </c>
      <c r="D57" s="249">
        <v>4437</v>
      </c>
      <c r="E57" s="249">
        <v>0</v>
      </c>
      <c r="G57" s="78" t="s">
        <v>266</v>
      </c>
      <c r="H57" s="249">
        <v>0</v>
      </c>
      <c r="I57" s="249">
        <v>0</v>
      </c>
      <c r="J57" s="249">
        <v>4528</v>
      </c>
      <c r="K57" s="249">
        <v>0</v>
      </c>
      <c r="M57" s="78" t="s">
        <v>266</v>
      </c>
      <c r="N57" s="249">
        <v>0</v>
      </c>
      <c r="O57" s="249">
        <v>0</v>
      </c>
      <c r="P57" s="249">
        <v>4650</v>
      </c>
      <c r="Q57" s="249">
        <v>0</v>
      </c>
      <c r="S57" s="78" t="s">
        <v>266</v>
      </c>
      <c r="T57" s="249">
        <v>0</v>
      </c>
      <c r="U57" s="249">
        <v>0</v>
      </c>
      <c r="V57" s="249">
        <v>4624</v>
      </c>
      <c r="W57" s="249">
        <v>0</v>
      </c>
      <c r="Y57" s="78" t="s">
        <v>266</v>
      </c>
      <c r="Z57" s="249">
        <v>0</v>
      </c>
      <c r="AA57" s="249">
        <v>0</v>
      </c>
      <c r="AB57" s="249">
        <v>4613</v>
      </c>
      <c r="AC57" s="249">
        <v>0</v>
      </c>
      <c r="AE57" s="78" t="s">
        <v>266</v>
      </c>
      <c r="AF57" s="249">
        <f t="shared" si="0"/>
        <v>0</v>
      </c>
      <c r="AG57" s="249">
        <f t="shared" si="1"/>
        <v>0</v>
      </c>
      <c r="AH57" s="249">
        <f t="shared" si="2"/>
        <v>4601</v>
      </c>
      <c r="AI57" s="249">
        <f t="shared" si="3"/>
        <v>0</v>
      </c>
    </row>
    <row r="58" spans="1:35" ht="12.75">
      <c r="A58" s="78" t="s">
        <v>267</v>
      </c>
      <c r="B58" s="249">
        <v>0</v>
      </c>
      <c r="C58" s="249">
        <v>38</v>
      </c>
      <c r="D58" s="249">
        <v>881</v>
      </c>
      <c r="E58" s="249">
        <v>12</v>
      </c>
      <c r="G58" s="78" t="s">
        <v>267</v>
      </c>
      <c r="H58" s="249">
        <v>0</v>
      </c>
      <c r="I58" s="249">
        <v>36</v>
      </c>
      <c r="J58" s="249">
        <v>776</v>
      </c>
      <c r="K58" s="249">
        <v>14</v>
      </c>
      <c r="M58" s="78" t="s">
        <v>267</v>
      </c>
      <c r="N58" s="249">
        <v>0</v>
      </c>
      <c r="O58" s="249">
        <v>34</v>
      </c>
      <c r="P58" s="249">
        <v>857</v>
      </c>
      <c r="Q58" s="249">
        <v>17</v>
      </c>
      <c r="S58" s="78" t="s">
        <v>267</v>
      </c>
      <c r="T58" s="249">
        <v>0</v>
      </c>
      <c r="U58" s="249">
        <v>33</v>
      </c>
      <c r="V58" s="249">
        <v>810</v>
      </c>
      <c r="W58" s="249">
        <v>18</v>
      </c>
      <c r="Y58" s="78" t="s">
        <v>267</v>
      </c>
      <c r="Z58" s="249">
        <v>0</v>
      </c>
      <c r="AA58" s="249">
        <v>38</v>
      </c>
      <c r="AB58" s="249">
        <v>789</v>
      </c>
      <c r="AC58" s="249">
        <v>19</v>
      </c>
      <c r="AE58" s="78" t="s">
        <v>267</v>
      </c>
      <c r="AF58" s="249">
        <f t="shared" si="0"/>
        <v>0</v>
      </c>
      <c r="AG58" s="249">
        <f t="shared" si="1"/>
        <v>97</v>
      </c>
      <c r="AH58" s="249">
        <f t="shared" si="2"/>
        <v>784</v>
      </c>
      <c r="AI58" s="249">
        <f t="shared" si="3"/>
        <v>19</v>
      </c>
    </row>
    <row r="59" spans="1:35" ht="12.75">
      <c r="A59" s="78" t="s">
        <v>268</v>
      </c>
      <c r="B59" s="249">
        <v>0</v>
      </c>
      <c r="C59" s="249">
        <v>0</v>
      </c>
      <c r="D59" s="249">
        <v>455</v>
      </c>
      <c r="E59" s="249">
        <v>0</v>
      </c>
      <c r="G59" s="78" t="s">
        <v>268</v>
      </c>
      <c r="H59" s="249">
        <v>0</v>
      </c>
      <c r="I59" s="249">
        <v>0</v>
      </c>
      <c r="J59" s="249">
        <v>398</v>
      </c>
      <c r="K59" s="249">
        <v>0</v>
      </c>
      <c r="M59" s="78" t="s">
        <v>268</v>
      </c>
      <c r="N59" s="249">
        <v>0</v>
      </c>
      <c r="O59" s="249">
        <v>0</v>
      </c>
      <c r="P59" s="249">
        <v>352</v>
      </c>
      <c r="Q59" s="249">
        <v>0</v>
      </c>
      <c r="S59" s="78" t="s">
        <v>268</v>
      </c>
      <c r="T59" s="249">
        <v>0</v>
      </c>
      <c r="U59" s="249">
        <v>0</v>
      </c>
      <c r="V59" s="249">
        <v>326</v>
      </c>
      <c r="W59" s="249">
        <v>0</v>
      </c>
      <c r="Y59" s="78" t="s">
        <v>268</v>
      </c>
      <c r="Z59" s="249">
        <v>0</v>
      </c>
      <c r="AA59" s="249">
        <v>0</v>
      </c>
      <c r="AB59" s="249">
        <v>319</v>
      </c>
      <c r="AC59" s="249">
        <v>0</v>
      </c>
      <c r="AE59" s="78" t="s">
        <v>268</v>
      </c>
      <c r="AF59" s="249">
        <f t="shared" si="0"/>
        <v>0</v>
      </c>
      <c r="AG59" s="249">
        <f t="shared" si="1"/>
        <v>0</v>
      </c>
      <c r="AH59" s="249">
        <f t="shared" si="2"/>
        <v>314</v>
      </c>
      <c r="AI59" s="249">
        <f t="shared" si="3"/>
        <v>0</v>
      </c>
    </row>
    <row r="60" spans="1:35" ht="12.75">
      <c r="A60" s="78" t="s">
        <v>269</v>
      </c>
      <c r="B60" s="249">
        <v>20</v>
      </c>
      <c r="C60" s="249">
        <v>0</v>
      </c>
      <c r="D60" s="249">
        <v>483</v>
      </c>
      <c r="E60" s="249">
        <v>0</v>
      </c>
      <c r="G60" s="78" t="s">
        <v>269</v>
      </c>
      <c r="H60" s="249">
        <v>18</v>
      </c>
      <c r="I60" s="249">
        <v>0</v>
      </c>
      <c r="J60" s="249">
        <v>487</v>
      </c>
      <c r="K60" s="249">
        <v>0</v>
      </c>
      <c r="M60" s="78" t="s">
        <v>269</v>
      </c>
      <c r="N60" s="249">
        <v>13</v>
      </c>
      <c r="O60" s="249">
        <v>0</v>
      </c>
      <c r="P60" s="249">
        <v>421</v>
      </c>
      <c r="Q60" s="249">
        <v>0</v>
      </c>
      <c r="S60" s="78" t="s">
        <v>269</v>
      </c>
      <c r="T60" s="249">
        <v>14</v>
      </c>
      <c r="U60" s="249">
        <v>0</v>
      </c>
      <c r="V60" s="249">
        <v>374</v>
      </c>
      <c r="W60" s="249">
        <v>0</v>
      </c>
      <c r="Y60" s="78" t="s">
        <v>269</v>
      </c>
      <c r="Z60" s="249">
        <v>15</v>
      </c>
      <c r="AA60" s="249">
        <v>0</v>
      </c>
      <c r="AB60" s="249">
        <v>331</v>
      </c>
      <c r="AC60" s="249">
        <v>0</v>
      </c>
      <c r="AE60" s="78" t="s">
        <v>269</v>
      </c>
      <c r="AF60" s="249">
        <f t="shared" si="0"/>
        <v>15</v>
      </c>
      <c r="AG60" s="249">
        <f t="shared" si="1"/>
        <v>0</v>
      </c>
      <c r="AH60" s="249">
        <f t="shared" si="2"/>
        <v>314</v>
      </c>
      <c r="AI60" s="249">
        <f t="shared" si="3"/>
        <v>0</v>
      </c>
    </row>
    <row r="61" spans="1:35" ht="12.75">
      <c r="A61" s="79" t="s">
        <v>270</v>
      </c>
      <c r="B61" s="250">
        <v>108</v>
      </c>
      <c r="C61" s="250">
        <v>77</v>
      </c>
      <c r="D61" s="250">
        <v>75517</v>
      </c>
      <c r="E61" s="250">
        <v>320</v>
      </c>
      <c r="G61" s="79" t="s">
        <v>270</v>
      </c>
      <c r="H61" s="250">
        <v>-1294</v>
      </c>
      <c r="I61" s="250">
        <v>368</v>
      </c>
      <c r="J61" s="250">
        <v>79303</v>
      </c>
      <c r="K61" s="250">
        <v>815</v>
      </c>
      <c r="M61" s="79" t="s">
        <v>270</v>
      </c>
      <c r="N61" s="250">
        <v>-1975</v>
      </c>
      <c r="O61" s="250">
        <v>242</v>
      </c>
      <c r="P61" s="250">
        <v>82778</v>
      </c>
      <c r="Q61" s="250">
        <v>2274</v>
      </c>
      <c r="S61" s="346" t="s">
        <v>270</v>
      </c>
      <c r="T61" s="76">
        <v>-3030</v>
      </c>
      <c r="U61" s="76">
        <v>178</v>
      </c>
      <c r="V61" s="76">
        <v>75590</v>
      </c>
      <c r="W61" s="76">
        <v>2768</v>
      </c>
      <c r="Y61" s="79" t="s">
        <v>536</v>
      </c>
      <c r="Z61" s="250">
        <v>-2049</v>
      </c>
      <c r="AA61" s="250">
        <v>463</v>
      </c>
      <c r="AB61" s="250">
        <v>87760</v>
      </c>
      <c r="AC61" s="250">
        <v>11314</v>
      </c>
      <c r="AE61" s="79" t="s">
        <v>536</v>
      </c>
      <c r="AF61" s="249">
        <f t="shared" si="0"/>
        <v>-2194</v>
      </c>
      <c r="AG61" s="249">
        <f t="shared" si="1"/>
        <v>289</v>
      </c>
      <c r="AH61" s="249">
        <f t="shared" si="2"/>
        <v>82110</v>
      </c>
      <c r="AI61" s="249">
        <f t="shared" si="3"/>
        <v>15378</v>
      </c>
    </row>
    <row r="62" spans="1:35" ht="12.75">
      <c r="A62" s="79" t="s">
        <v>4</v>
      </c>
      <c r="B62" s="250">
        <v>26872</v>
      </c>
      <c r="C62" s="250">
        <v>7274</v>
      </c>
      <c r="D62" s="250">
        <v>204164</v>
      </c>
      <c r="E62" s="250">
        <v>9782</v>
      </c>
      <c r="G62" s="79" t="s">
        <v>4</v>
      </c>
      <c r="H62" s="250">
        <v>26715</v>
      </c>
      <c r="I62" s="250">
        <v>8150</v>
      </c>
      <c r="J62" s="250">
        <v>213115</v>
      </c>
      <c r="K62" s="250">
        <v>10386</v>
      </c>
      <c r="M62" s="79" t="s">
        <v>4</v>
      </c>
      <c r="N62" s="250">
        <v>28571</v>
      </c>
      <c r="O62" s="250">
        <v>13483</v>
      </c>
      <c r="P62" s="250">
        <v>210881</v>
      </c>
      <c r="Q62" s="250">
        <v>11966</v>
      </c>
      <c r="S62" s="347" t="s">
        <v>4</v>
      </c>
      <c r="T62" s="348">
        <v>24586</v>
      </c>
      <c r="U62" s="348">
        <v>11343</v>
      </c>
      <c r="V62" s="348">
        <v>198411</v>
      </c>
      <c r="W62" s="348">
        <v>12218</v>
      </c>
      <c r="Y62" s="79" t="s">
        <v>4</v>
      </c>
      <c r="Z62" s="250">
        <v>26847</v>
      </c>
      <c r="AA62" s="250">
        <v>17139</v>
      </c>
      <c r="AB62" s="250">
        <v>215921</v>
      </c>
      <c r="AC62" s="250">
        <v>21939</v>
      </c>
      <c r="AE62" s="79" t="s">
        <v>4</v>
      </c>
      <c r="AF62" s="249">
        <f t="shared" si="0"/>
        <v>27855</v>
      </c>
      <c r="AG62" s="249">
        <f t="shared" si="1"/>
        <v>24823</v>
      </c>
      <c r="AH62" s="249">
        <f t="shared" si="2"/>
        <v>210859</v>
      </c>
      <c r="AI62" s="249">
        <f t="shared" si="3"/>
        <v>25830</v>
      </c>
    </row>
    <row r="63" spans="19:35" ht="25.5">
      <c r="S63" s="159" t="s">
        <v>271</v>
      </c>
      <c r="T63" s="2">
        <v>-3009</v>
      </c>
      <c r="U63" s="2">
        <v>205</v>
      </c>
      <c r="V63" s="2">
        <v>76774</v>
      </c>
      <c r="W63" s="2">
        <v>2791</v>
      </c>
      <c r="Y63" s="159" t="s">
        <v>271</v>
      </c>
      <c r="Z63" s="2">
        <v>-2033</v>
      </c>
      <c r="AA63" s="2">
        <v>495</v>
      </c>
      <c r="AB63" s="2">
        <v>88880</v>
      </c>
      <c r="AC63" s="2">
        <v>11336</v>
      </c>
      <c r="AE63" s="159" t="s">
        <v>271</v>
      </c>
      <c r="AF63" s="2">
        <f>AF44+AF45+AF46+AF47+AF58+AF60</f>
        <v>-2179</v>
      </c>
      <c r="AG63" s="2">
        <f>AG44+AG45+AG46+AG47+AG58+AG60</f>
        <v>389</v>
      </c>
      <c r="AH63" s="2">
        <f>AH44+AH45+AH46+AH47+AH58+AH60</f>
        <v>83207</v>
      </c>
      <c r="AI63" s="2">
        <f>AI44+AI45+AI46+AI47+AI58+AI60</f>
        <v>15402</v>
      </c>
    </row>
    <row r="64" spans="1:35" ht="12.75">
      <c r="A64" t="s">
        <v>530</v>
      </c>
      <c r="S64" s="159" t="s">
        <v>274</v>
      </c>
      <c r="T64" s="2"/>
      <c r="U64" s="2"/>
      <c r="V64" s="2">
        <v>74355</v>
      </c>
      <c r="W64" s="2">
        <v>2791</v>
      </c>
      <c r="Y64" s="159" t="s">
        <v>274</v>
      </c>
      <c r="Z64" s="2"/>
      <c r="AA64" s="2"/>
      <c r="AB64" s="2">
        <v>86542</v>
      </c>
      <c r="AC64" s="2">
        <v>11336</v>
      </c>
      <c r="AE64" s="159" t="s">
        <v>274</v>
      </c>
      <c r="AF64" s="2"/>
      <c r="AG64" s="2"/>
      <c r="AH64" s="2">
        <f>AH63-AH47</f>
        <v>81392</v>
      </c>
      <c r="AI64" s="2">
        <f>AI63-AI47</f>
        <v>15402</v>
      </c>
    </row>
    <row r="65" spans="1:35" ht="25.5">
      <c r="A65" t="s">
        <v>256</v>
      </c>
      <c r="B65" t="s">
        <v>0</v>
      </c>
      <c r="C65" t="s">
        <v>175</v>
      </c>
      <c r="D65" t="s">
        <v>1</v>
      </c>
      <c r="E65" t="s">
        <v>1</v>
      </c>
      <c r="S65" s="159" t="s">
        <v>275</v>
      </c>
      <c r="T65" s="2">
        <v>24590</v>
      </c>
      <c r="U65" s="2">
        <v>11327</v>
      </c>
      <c r="V65" s="2">
        <v>198412</v>
      </c>
      <c r="W65" s="2">
        <v>12214</v>
      </c>
      <c r="Y65" s="159" t="s">
        <v>275</v>
      </c>
      <c r="Z65" s="2">
        <v>26844</v>
      </c>
      <c r="AA65" s="2">
        <v>17123</v>
      </c>
      <c r="AB65" s="2">
        <v>215919</v>
      </c>
      <c r="AC65" s="2">
        <v>21933</v>
      </c>
      <c r="AE65" s="159" t="s">
        <v>275</v>
      </c>
      <c r="AF65" s="2">
        <f>SUM(AF38:AF60)</f>
        <v>27852</v>
      </c>
      <c r="AG65" s="2">
        <f>SUM(AG38:AG60)</f>
        <v>24816</v>
      </c>
      <c r="AH65" s="2">
        <f>SUM(AH38:AH60)</f>
        <v>210860</v>
      </c>
      <c r="AI65" s="2">
        <f>SUM(AI38:AI60)</f>
        <v>25825</v>
      </c>
    </row>
    <row r="66" spans="2:5" ht="12.75">
      <c r="B66" t="s">
        <v>257</v>
      </c>
      <c r="C66" t="s">
        <v>257</v>
      </c>
      <c r="D66" t="s">
        <v>257</v>
      </c>
      <c r="E66" t="s">
        <v>258</v>
      </c>
    </row>
    <row r="67" spans="1:5" ht="12.75">
      <c r="A67" t="s">
        <v>15</v>
      </c>
      <c r="B67">
        <v>1116</v>
      </c>
      <c r="C67">
        <v>84</v>
      </c>
      <c r="D67">
        <v>125</v>
      </c>
      <c r="E67">
        <v>0</v>
      </c>
    </row>
    <row r="68" spans="1:5" ht="12.75">
      <c r="A68" t="s">
        <v>22</v>
      </c>
      <c r="B68">
        <v>0</v>
      </c>
      <c r="C68">
        <v>3028</v>
      </c>
      <c r="D68">
        <v>3517</v>
      </c>
      <c r="E68">
        <v>0</v>
      </c>
    </row>
    <row r="69" spans="1:5" ht="12.75">
      <c r="A69" t="s">
        <v>16</v>
      </c>
      <c r="B69">
        <v>319</v>
      </c>
      <c r="C69">
        <v>0</v>
      </c>
      <c r="D69">
        <v>3335</v>
      </c>
      <c r="E69">
        <v>0</v>
      </c>
    </row>
    <row r="70" spans="1:5" ht="12.75">
      <c r="A70" t="s">
        <v>19</v>
      </c>
      <c r="B70">
        <v>0</v>
      </c>
      <c r="C70">
        <v>0</v>
      </c>
      <c r="D70">
        <v>1422</v>
      </c>
      <c r="E70">
        <v>0</v>
      </c>
    </row>
    <row r="71" spans="1:5" ht="12.75">
      <c r="A71" t="s">
        <v>18</v>
      </c>
      <c r="B71">
        <v>43</v>
      </c>
      <c r="C71">
        <v>0</v>
      </c>
      <c r="D71">
        <v>73700</v>
      </c>
      <c r="E71">
        <v>0</v>
      </c>
    </row>
    <row r="72" spans="1:5" ht="12.75">
      <c r="A72" t="s">
        <v>14</v>
      </c>
      <c r="B72">
        <v>14301</v>
      </c>
      <c r="C72">
        <v>12</v>
      </c>
      <c r="D72">
        <v>1366</v>
      </c>
      <c r="E72">
        <v>0</v>
      </c>
    </row>
    <row r="73" spans="1:5" ht="12.75">
      <c r="A73" t="s">
        <v>259</v>
      </c>
      <c r="B73">
        <v>-3023</v>
      </c>
      <c r="C73">
        <v>214</v>
      </c>
      <c r="D73">
        <v>8934</v>
      </c>
      <c r="E73">
        <v>0</v>
      </c>
    </row>
    <row r="74" spans="1:5" ht="12.75">
      <c r="A74" t="s">
        <v>260</v>
      </c>
      <c r="B74">
        <v>0</v>
      </c>
      <c r="C74">
        <v>-96</v>
      </c>
      <c r="D74">
        <v>37580</v>
      </c>
      <c r="E74">
        <v>2536</v>
      </c>
    </row>
    <row r="75" spans="1:5" ht="12.75">
      <c r="A75" t="s">
        <v>261</v>
      </c>
      <c r="B75">
        <v>0</v>
      </c>
      <c r="C75">
        <v>0</v>
      </c>
      <c r="D75">
        <v>26657</v>
      </c>
      <c r="E75">
        <v>237</v>
      </c>
    </row>
    <row r="76" spans="1:5" ht="12.75">
      <c r="A76" t="s">
        <v>262</v>
      </c>
      <c r="B76">
        <v>0</v>
      </c>
      <c r="C76">
        <v>54</v>
      </c>
      <c r="D76">
        <v>2419</v>
      </c>
      <c r="E76">
        <v>0</v>
      </c>
    </row>
    <row r="77" spans="1:5" ht="12.75">
      <c r="A77" t="s">
        <v>21</v>
      </c>
      <c r="B77">
        <v>0</v>
      </c>
      <c r="C77">
        <v>0</v>
      </c>
      <c r="D77">
        <v>19564</v>
      </c>
      <c r="E77">
        <v>9398</v>
      </c>
    </row>
    <row r="78" spans="1:5" ht="12.75">
      <c r="A78" t="s">
        <v>24</v>
      </c>
      <c r="B78">
        <v>0</v>
      </c>
      <c r="C78">
        <v>4979</v>
      </c>
      <c r="D78">
        <v>0</v>
      </c>
      <c r="E78">
        <v>0</v>
      </c>
    </row>
    <row r="79" spans="1:5" ht="12.75">
      <c r="A79" t="s">
        <v>20</v>
      </c>
      <c r="B79">
        <v>0</v>
      </c>
      <c r="C79">
        <v>0</v>
      </c>
      <c r="D79">
        <v>6099</v>
      </c>
      <c r="E79">
        <v>25</v>
      </c>
    </row>
    <row r="80" spans="1:5" ht="12.75">
      <c r="A80" t="s">
        <v>5</v>
      </c>
      <c r="B80">
        <v>64</v>
      </c>
      <c r="C80">
        <v>0</v>
      </c>
      <c r="D80">
        <v>3845</v>
      </c>
      <c r="E80">
        <v>0</v>
      </c>
    </row>
    <row r="81" spans="1:5" ht="12.75">
      <c r="A81" t="s">
        <v>23</v>
      </c>
      <c r="B81">
        <v>0</v>
      </c>
      <c r="C81">
        <v>-1910</v>
      </c>
      <c r="D81">
        <v>1028</v>
      </c>
      <c r="E81">
        <v>0</v>
      </c>
    </row>
    <row r="82" spans="1:5" ht="12.75">
      <c r="A82" t="s">
        <v>17</v>
      </c>
      <c r="B82">
        <v>10494</v>
      </c>
      <c r="C82">
        <v>4398</v>
      </c>
      <c r="D82">
        <v>1040</v>
      </c>
      <c r="E82">
        <v>0</v>
      </c>
    </row>
    <row r="83" spans="1:5" ht="12.75">
      <c r="A83" t="s">
        <v>263</v>
      </c>
      <c r="B83">
        <v>0</v>
      </c>
      <c r="C83">
        <v>0</v>
      </c>
      <c r="D83">
        <v>1647</v>
      </c>
      <c r="E83">
        <v>0</v>
      </c>
    </row>
    <row r="84" spans="1:5" ht="12.75">
      <c r="A84" t="s">
        <v>264</v>
      </c>
      <c r="B84">
        <v>1262</v>
      </c>
      <c r="C84">
        <v>0</v>
      </c>
      <c r="D84">
        <v>0</v>
      </c>
      <c r="E84">
        <v>0</v>
      </c>
    </row>
    <row r="85" spans="1:5" ht="12.75">
      <c r="A85" t="s">
        <v>265</v>
      </c>
      <c r="B85">
        <v>0</v>
      </c>
      <c r="C85">
        <v>531</v>
      </c>
      <c r="D85">
        <v>0</v>
      </c>
      <c r="E85">
        <v>0</v>
      </c>
    </row>
    <row r="86" spans="1:5" ht="12.75">
      <c r="A86" t="s">
        <v>266</v>
      </c>
      <c r="B86">
        <v>0</v>
      </c>
      <c r="C86">
        <v>0</v>
      </c>
      <c r="D86">
        <v>4624</v>
      </c>
      <c r="E86">
        <v>0</v>
      </c>
    </row>
    <row r="87" spans="1:5" ht="12.75">
      <c r="A87" t="s">
        <v>267</v>
      </c>
      <c r="B87">
        <v>0</v>
      </c>
      <c r="C87">
        <v>33</v>
      </c>
      <c r="D87">
        <v>810</v>
      </c>
      <c r="E87">
        <v>18</v>
      </c>
    </row>
    <row r="88" spans="1:5" ht="12.75">
      <c r="A88" t="s">
        <v>268</v>
      </c>
      <c r="B88">
        <v>0</v>
      </c>
      <c r="C88">
        <v>0</v>
      </c>
      <c r="D88">
        <v>326</v>
      </c>
      <c r="E88">
        <v>0</v>
      </c>
    </row>
    <row r="89" spans="1:5" ht="12.75">
      <c r="A89" t="s">
        <v>269</v>
      </c>
      <c r="B89">
        <v>14</v>
      </c>
      <c r="C89">
        <v>0</v>
      </c>
      <c r="D89">
        <v>374</v>
      </c>
      <c r="E89">
        <v>0</v>
      </c>
    </row>
    <row r="90" spans="1:5" ht="12.75">
      <c r="A90" t="s">
        <v>270</v>
      </c>
      <c r="B90">
        <v>-3030</v>
      </c>
      <c r="C90">
        <v>178</v>
      </c>
      <c r="D90">
        <v>75590</v>
      </c>
      <c r="E90">
        <v>2768</v>
      </c>
    </row>
    <row r="91" spans="1:5" ht="12.75">
      <c r="A91" t="s">
        <v>4</v>
      </c>
      <c r="B91">
        <v>24586</v>
      </c>
      <c r="C91">
        <v>11343</v>
      </c>
      <c r="D91">
        <v>198411</v>
      </c>
      <c r="E91">
        <v>12218</v>
      </c>
    </row>
    <row r="92" spans="1:5" ht="12.75">
      <c r="A92" t="s">
        <v>271</v>
      </c>
      <c r="B92">
        <v>-3009</v>
      </c>
      <c r="C92">
        <v>205</v>
      </c>
      <c r="D92">
        <v>76774</v>
      </c>
      <c r="E92">
        <v>2791</v>
      </c>
    </row>
    <row r="93" spans="1:5" ht="12.75">
      <c r="A93" t="s">
        <v>274</v>
      </c>
      <c r="D93">
        <v>74355</v>
      </c>
      <c r="E93">
        <v>2791</v>
      </c>
    </row>
    <row r="94" spans="1:5" ht="12.75">
      <c r="A94" t="s">
        <v>275</v>
      </c>
      <c r="B94">
        <v>24590</v>
      </c>
      <c r="C94">
        <v>11327</v>
      </c>
      <c r="D94">
        <v>198412</v>
      </c>
      <c r="E94">
        <v>12214</v>
      </c>
    </row>
  </sheetData>
  <sheetProtection/>
  <mergeCells count="15">
    <mergeCell ref="G35:K35"/>
    <mergeCell ref="G36:G37"/>
    <mergeCell ref="M35:Q35"/>
    <mergeCell ref="M36:M37"/>
    <mergeCell ref="A1:E1"/>
    <mergeCell ref="A2:A3"/>
    <mergeCell ref="A35:E35"/>
    <mergeCell ref="A36:A37"/>
    <mergeCell ref="S35:W35"/>
    <mergeCell ref="S36:S37"/>
    <mergeCell ref="AC2:AG2"/>
    <mergeCell ref="Y35:AC35"/>
    <mergeCell ref="Y36:Y37"/>
    <mergeCell ref="AE35:AI35"/>
    <mergeCell ref="AE36:AE37"/>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5:U41"/>
  <sheetViews>
    <sheetView zoomScalePageLayoutView="0" workbookViewId="0" topLeftCell="A1">
      <selection activeCell="J32" sqref="J32"/>
    </sheetView>
  </sheetViews>
  <sheetFormatPr defaultColWidth="9.140625" defaultRowHeight="12.75"/>
  <cols>
    <col min="1" max="1" width="9.140625" style="185" customWidth="1"/>
    <col min="2" max="2" width="17.28125" style="185" customWidth="1"/>
    <col min="3" max="7" width="9.28125" style="185" bestFit="1" customWidth="1"/>
    <col min="8" max="8" width="12.421875" style="185" bestFit="1" customWidth="1"/>
    <col min="9" max="11" width="9.28125" style="185" bestFit="1" customWidth="1"/>
    <col min="12" max="12" width="12.8515625" style="185" customWidth="1"/>
    <col min="13" max="13" width="11.7109375" style="185" customWidth="1"/>
    <col min="14" max="15" width="11.00390625" style="185" customWidth="1"/>
    <col min="16" max="17" width="9.28125" style="185" bestFit="1" customWidth="1"/>
    <col min="18" max="18" width="13.28125" style="185" customWidth="1"/>
    <col min="19" max="19" width="13.421875" style="185" customWidth="1"/>
    <col min="20" max="20" width="11.8515625" style="185" bestFit="1" customWidth="1"/>
    <col min="21" max="16384" width="9.140625" style="185" customWidth="1"/>
  </cols>
  <sheetData>
    <row r="5" spans="2:20" ht="15">
      <c r="B5" s="217"/>
      <c r="C5" s="218"/>
      <c r="D5" s="218"/>
      <c r="E5" s="218"/>
      <c r="F5" s="218"/>
      <c r="G5" s="218"/>
      <c r="H5" s="218"/>
      <c r="I5" s="218"/>
      <c r="J5" s="218"/>
      <c r="K5" s="219" t="s">
        <v>280</v>
      </c>
      <c r="L5" s="218"/>
      <c r="M5" s="218"/>
      <c r="N5" s="218"/>
      <c r="O5" s="218"/>
      <c r="P5" s="218"/>
      <c r="Q5" s="219">
        <v>2008</v>
      </c>
      <c r="R5" s="218" t="s">
        <v>483</v>
      </c>
      <c r="S5" s="218"/>
      <c r="T5" s="218"/>
    </row>
    <row r="6" spans="2:20" ht="14.25">
      <c r="B6" s="217"/>
      <c r="C6" s="218"/>
      <c r="D6" s="218"/>
      <c r="E6" s="218"/>
      <c r="F6" s="218"/>
      <c r="G6" s="218"/>
      <c r="H6" s="218"/>
      <c r="I6" s="218"/>
      <c r="J6" s="218"/>
      <c r="K6" s="218"/>
      <c r="L6" s="218"/>
      <c r="M6" s="218"/>
      <c r="N6" s="218"/>
      <c r="O6" s="218"/>
      <c r="P6" s="218"/>
      <c r="Q6" s="218"/>
      <c r="R6" s="218"/>
      <c r="S6" s="218"/>
      <c r="T6" s="218"/>
    </row>
    <row r="7" spans="2:20" ht="14.25">
      <c r="B7" s="220">
        <v>1</v>
      </c>
      <c r="C7" s="220">
        <v>2</v>
      </c>
      <c r="D7" s="220">
        <v>3</v>
      </c>
      <c r="E7" s="220">
        <v>4</v>
      </c>
      <c r="F7" s="220">
        <v>5</v>
      </c>
      <c r="G7" s="220">
        <v>6</v>
      </c>
      <c r="H7" s="220">
        <v>7</v>
      </c>
      <c r="I7" s="220">
        <v>8</v>
      </c>
      <c r="J7" s="220">
        <v>9</v>
      </c>
      <c r="K7" s="220">
        <v>10</v>
      </c>
      <c r="L7" s="220">
        <v>11</v>
      </c>
      <c r="M7" s="220">
        <v>12</v>
      </c>
      <c r="N7" s="220">
        <v>13</v>
      </c>
      <c r="O7" s="220">
        <v>14</v>
      </c>
      <c r="P7" s="220">
        <v>15</v>
      </c>
      <c r="Q7" s="220">
        <v>16</v>
      </c>
      <c r="R7" s="220">
        <v>17</v>
      </c>
      <c r="S7" s="220">
        <v>18</v>
      </c>
      <c r="T7" s="220">
        <v>19</v>
      </c>
    </row>
    <row r="8" spans="2:20" ht="15" thickBot="1">
      <c r="B8" s="221"/>
      <c r="C8" s="220" t="s">
        <v>281</v>
      </c>
      <c r="D8" s="220" t="s">
        <v>281</v>
      </c>
      <c r="E8" s="220" t="s">
        <v>282</v>
      </c>
      <c r="F8" s="220" t="s">
        <v>283</v>
      </c>
      <c r="G8" s="220" t="s">
        <v>284</v>
      </c>
      <c r="H8" s="220" t="s">
        <v>282</v>
      </c>
      <c r="I8" s="220" t="s">
        <v>281</v>
      </c>
      <c r="J8" s="220" t="s">
        <v>285</v>
      </c>
      <c r="K8" s="220" t="s">
        <v>286</v>
      </c>
      <c r="L8" s="220" t="s">
        <v>287</v>
      </c>
      <c r="M8" s="220" t="s">
        <v>288</v>
      </c>
      <c r="N8" s="220" t="s">
        <v>289</v>
      </c>
      <c r="O8" s="220" t="s">
        <v>290</v>
      </c>
      <c r="P8" s="220" t="s">
        <v>291</v>
      </c>
      <c r="Q8" s="220" t="s">
        <v>292</v>
      </c>
      <c r="R8" s="220" t="s">
        <v>293</v>
      </c>
      <c r="S8" s="220" t="s">
        <v>294</v>
      </c>
      <c r="T8" s="220" t="s">
        <v>295</v>
      </c>
    </row>
    <row r="9" spans="2:20" ht="15">
      <c r="B9" s="222"/>
      <c r="C9" s="222"/>
      <c r="D9" s="222"/>
      <c r="E9" s="222"/>
      <c r="F9" s="222"/>
      <c r="G9" s="222"/>
      <c r="H9" s="222"/>
      <c r="I9" s="222"/>
      <c r="J9" s="222"/>
      <c r="K9" s="222"/>
      <c r="L9" s="223"/>
      <c r="M9" s="224"/>
      <c r="N9" s="225" t="s">
        <v>296</v>
      </c>
      <c r="O9" s="226"/>
      <c r="P9" s="226"/>
      <c r="Q9" s="223"/>
      <c r="R9" s="225" t="s">
        <v>297</v>
      </c>
      <c r="S9" s="226"/>
      <c r="T9" s="227" t="s">
        <v>298</v>
      </c>
    </row>
    <row r="10" spans="2:20" ht="15.75" thickBot="1">
      <c r="B10" s="228"/>
      <c r="C10" s="228"/>
      <c r="D10" s="228"/>
      <c r="E10" s="228"/>
      <c r="F10" s="228"/>
      <c r="G10" s="228"/>
      <c r="H10" s="228"/>
      <c r="I10" s="228"/>
      <c r="J10" s="228"/>
      <c r="K10" s="228"/>
      <c r="L10" s="229"/>
      <c r="M10" s="230"/>
      <c r="N10" s="219" t="s">
        <v>299</v>
      </c>
      <c r="O10" s="218"/>
      <c r="P10" s="218"/>
      <c r="Q10" s="229"/>
      <c r="R10" s="219" t="s">
        <v>296</v>
      </c>
      <c r="S10" s="218"/>
      <c r="T10" s="231"/>
    </row>
    <row r="11" spans="2:20" ht="15">
      <c r="B11" s="217"/>
      <c r="C11" s="217"/>
      <c r="D11" s="217"/>
      <c r="E11" s="217"/>
      <c r="F11" s="217"/>
      <c r="G11" s="217"/>
      <c r="H11" s="217"/>
      <c r="I11" s="217"/>
      <c r="J11" s="217"/>
      <c r="K11" s="228"/>
      <c r="L11" s="223"/>
      <c r="M11" s="224" t="s">
        <v>300</v>
      </c>
      <c r="N11" s="225"/>
      <c r="O11" s="223" t="s">
        <v>301</v>
      </c>
      <c r="P11" s="226"/>
      <c r="Q11" s="229"/>
      <c r="R11" s="219" t="s">
        <v>302</v>
      </c>
      <c r="S11" s="218"/>
      <c r="T11" s="231" t="s">
        <v>303</v>
      </c>
    </row>
    <row r="12" spans="2:20" ht="15.75" thickBot="1">
      <c r="B12" s="217"/>
      <c r="C12" s="217"/>
      <c r="D12" s="217"/>
      <c r="E12" s="232" t="s">
        <v>304</v>
      </c>
      <c r="F12" s="217"/>
      <c r="G12" s="217"/>
      <c r="H12" s="232" t="s">
        <v>305</v>
      </c>
      <c r="I12" s="232" t="s">
        <v>306</v>
      </c>
      <c r="J12" s="217"/>
      <c r="K12" s="228"/>
      <c r="L12" s="229"/>
      <c r="M12" s="230" t="s">
        <v>307</v>
      </c>
      <c r="N12" s="219"/>
      <c r="O12" s="229" t="s">
        <v>308</v>
      </c>
      <c r="P12" s="218"/>
      <c r="Q12" s="229"/>
      <c r="R12" s="219" t="s">
        <v>309</v>
      </c>
      <c r="S12" s="218"/>
      <c r="T12" s="231" t="s">
        <v>310</v>
      </c>
    </row>
    <row r="13" spans="2:20" ht="15">
      <c r="B13" s="217"/>
      <c r="C13" s="217"/>
      <c r="D13" s="217"/>
      <c r="E13" s="232" t="s">
        <v>311</v>
      </c>
      <c r="F13" s="232" t="s">
        <v>4</v>
      </c>
      <c r="G13" s="232" t="s">
        <v>4</v>
      </c>
      <c r="H13" s="232" t="s">
        <v>311</v>
      </c>
      <c r="I13" s="232" t="s">
        <v>312</v>
      </c>
      <c r="J13" s="232" t="s">
        <v>4</v>
      </c>
      <c r="K13" s="232" t="s">
        <v>4</v>
      </c>
      <c r="L13" s="223"/>
      <c r="M13" s="224" t="s">
        <v>313</v>
      </c>
      <c r="N13" s="225"/>
      <c r="O13" s="223" t="s">
        <v>314</v>
      </c>
      <c r="P13" s="226"/>
      <c r="Q13" s="223"/>
      <c r="R13" s="224" t="s">
        <v>313</v>
      </c>
      <c r="S13" s="225"/>
      <c r="T13" s="231" t="s">
        <v>315</v>
      </c>
    </row>
    <row r="14" spans="2:20" ht="14.25">
      <c r="B14" s="217"/>
      <c r="C14" s="232"/>
      <c r="D14" s="232"/>
      <c r="E14" s="232" t="s">
        <v>316</v>
      </c>
      <c r="F14" s="232" t="s">
        <v>317</v>
      </c>
      <c r="G14" s="232" t="s">
        <v>318</v>
      </c>
      <c r="H14" s="232" t="s">
        <v>316</v>
      </c>
      <c r="I14" s="232" t="s">
        <v>319</v>
      </c>
      <c r="J14" s="232" t="s">
        <v>317</v>
      </c>
      <c r="K14" s="232" t="s">
        <v>318</v>
      </c>
      <c r="L14" s="229"/>
      <c r="M14" s="230" t="s">
        <v>320</v>
      </c>
      <c r="N14" s="218"/>
      <c r="O14" s="229" t="s">
        <v>321</v>
      </c>
      <c r="P14" s="218"/>
      <c r="Q14" s="229"/>
      <c r="R14" s="230" t="s">
        <v>320</v>
      </c>
      <c r="S14" s="218"/>
      <c r="T14" s="231" t="s">
        <v>303</v>
      </c>
    </row>
    <row r="15" spans="2:20" ht="15" thickBot="1">
      <c r="B15" s="217"/>
      <c r="C15" s="232" t="s">
        <v>322</v>
      </c>
      <c r="D15" s="232" t="s">
        <v>322</v>
      </c>
      <c r="E15" s="232" t="s">
        <v>323</v>
      </c>
      <c r="F15" s="232" t="s">
        <v>324</v>
      </c>
      <c r="G15" s="232" t="s">
        <v>325</v>
      </c>
      <c r="H15" s="232" t="s">
        <v>323</v>
      </c>
      <c r="I15" s="232" t="s">
        <v>322</v>
      </c>
      <c r="J15" s="232" t="s">
        <v>324</v>
      </c>
      <c r="K15" s="232" t="s">
        <v>325</v>
      </c>
      <c r="L15" s="229"/>
      <c r="M15" s="230" t="s">
        <v>326</v>
      </c>
      <c r="N15" s="218"/>
      <c r="O15" s="229" t="s">
        <v>327</v>
      </c>
      <c r="P15" s="218"/>
      <c r="Q15" s="229"/>
      <c r="R15" s="230" t="s">
        <v>328</v>
      </c>
      <c r="S15" s="218"/>
      <c r="T15" s="231" t="s">
        <v>329</v>
      </c>
    </row>
    <row r="16" spans="2:20" ht="14.25">
      <c r="B16" s="232" t="s">
        <v>330</v>
      </c>
      <c r="C16" s="232" t="s">
        <v>320</v>
      </c>
      <c r="D16" s="232" t="s">
        <v>320</v>
      </c>
      <c r="E16" s="232" t="s">
        <v>320</v>
      </c>
      <c r="F16" s="232" t="s">
        <v>325</v>
      </c>
      <c r="G16" s="232" t="s">
        <v>304</v>
      </c>
      <c r="H16" s="232" t="s">
        <v>320</v>
      </c>
      <c r="I16" s="232" t="s">
        <v>320</v>
      </c>
      <c r="J16" s="232" t="s">
        <v>325</v>
      </c>
      <c r="K16" s="232" t="s">
        <v>305</v>
      </c>
      <c r="L16" s="233" t="s">
        <v>304</v>
      </c>
      <c r="M16" s="234" t="s">
        <v>305</v>
      </c>
      <c r="N16" s="235"/>
      <c r="O16" s="233" t="s">
        <v>305</v>
      </c>
      <c r="P16" s="235"/>
      <c r="Q16" s="233" t="s">
        <v>304</v>
      </c>
      <c r="R16" s="234" t="s">
        <v>305</v>
      </c>
      <c r="S16" s="235"/>
      <c r="T16" s="231"/>
    </row>
    <row r="17" spans="2:20" ht="15" thickBot="1">
      <c r="B17" s="217"/>
      <c r="C17" s="232" t="s">
        <v>331</v>
      </c>
      <c r="D17" s="232" t="s">
        <v>332</v>
      </c>
      <c r="E17" s="232" t="s">
        <v>333</v>
      </c>
      <c r="F17" s="232" t="s">
        <v>304</v>
      </c>
      <c r="G17" s="232" t="s">
        <v>333</v>
      </c>
      <c r="H17" s="232" t="s">
        <v>327</v>
      </c>
      <c r="I17" s="232" t="s">
        <v>334</v>
      </c>
      <c r="J17" s="232" t="s">
        <v>305</v>
      </c>
      <c r="K17" s="232" t="s">
        <v>327</v>
      </c>
      <c r="L17" s="236" t="s">
        <v>311</v>
      </c>
      <c r="M17" s="232" t="s">
        <v>311</v>
      </c>
      <c r="N17" s="232" t="s">
        <v>335</v>
      </c>
      <c r="O17" s="236" t="s">
        <v>311</v>
      </c>
      <c r="P17" s="232" t="s">
        <v>335</v>
      </c>
      <c r="Q17" s="236" t="s">
        <v>311</v>
      </c>
      <c r="R17" s="232" t="s">
        <v>311</v>
      </c>
      <c r="S17" s="232" t="s">
        <v>335</v>
      </c>
      <c r="T17" s="237"/>
    </row>
    <row r="18" spans="2:20" ht="15" thickBot="1">
      <c r="B18" s="222"/>
      <c r="C18" s="332"/>
      <c r="D18" s="332"/>
      <c r="E18" s="333"/>
      <c r="F18" s="309"/>
      <c r="G18" s="310"/>
      <c r="H18" s="332"/>
      <c r="I18" s="333"/>
      <c r="J18" s="238"/>
      <c r="K18" s="238"/>
      <c r="L18" s="338"/>
      <c r="M18" s="333"/>
      <c r="N18" s="239"/>
      <c r="O18" s="339"/>
      <c r="P18" s="241"/>
      <c r="Q18" s="240"/>
      <c r="R18" s="333"/>
      <c r="S18" s="241"/>
      <c r="T18" s="326"/>
    </row>
    <row r="19" spans="2:21" ht="15" thickTop="1">
      <c r="B19" s="242" t="s">
        <v>336</v>
      </c>
      <c r="C19" s="385">
        <v>0</v>
      </c>
      <c r="D19" s="385">
        <v>0</v>
      </c>
      <c r="E19" s="385">
        <v>0</v>
      </c>
      <c r="F19" s="327">
        <f aca="true" t="shared" si="0" ref="F19:F29">D19+E19</f>
        <v>0</v>
      </c>
      <c r="G19" s="308">
        <f aca="true" t="shared" si="1" ref="G19:G29">C19-F19</f>
        <v>0</v>
      </c>
      <c r="H19" s="385">
        <v>0</v>
      </c>
      <c r="I19" s="385">
        <v>0</v>
      </c>
      <c r="J19" s="330">
        <f>H19+I19</f>
        <v>0</v>
      </c>
      <c r="K19" s="243">
        <f>D19-J19</f>
        <v>0</v>
      </c>
      <c r="L19" s="387">
        <f>IF(F19&lt;&gt;0,ROUNDDOWN(G19-(G19*D19/F19),0),0)</f>
        <v>0</v>
      </c>
      <c r="M19" s="387">
        <f>IF(J19&lt;&gt;0,ROUND((G19-L19)*(H19/J19),0),0)</f>
        <v>0</v>
      </c>
      <c r="N19" s="327">
        <f aca="true" t="shared" si="2" ref="N19:N29">G19-M19-L19</f>
        <v>0</v>
      </c>
      <c r="O19" s="387">
        <f>IF(J19&lt;&gt;0,ROUND(+K19*H19/J19,0),0)</f>
        <v>0</v>
      </c>
      <c r="P19" s="328">
        <f>K19-O19</f>
        <v>0</v>
      </c>
      <c r="Q19" s="311">
        <v>0</v>
      </c>
      <c r="R19" s="337">
        <f aca="true" t="shared" si="3" ref="R19:R30">H19+M19+O19</f>
        <v>0</v>
      </c>
      <c r="S19" s="334">
        <f aca="true" t="shared" si="4" ref="S19:S29">I19+N19+P19</f>
        <v>0</v>
      </c>
      <c r="T19" s="325">
        <f>Q19+R19+S19</f>
        <v>0</v>
      </c>
      <c r="U19" s="307"/>
    </row>
    <row r="20" spans="2:21" ht="14.25">
      <c r="B20" s="248" t="s">
        <v>337</v>
      </c>
      <c r="C20" s="386">
        <v>0</v>
      </c>
      <c r="D20" s="386">
        <v>0</v>
      </c>
      <c r="E20" s="386">
        <v>0</v>
      </c>
      <c r="F20" s="328">
        <f t="shared" si="0"/>
        <v>0</v>
      </c>
      <c r="G20" s="304">
        <f t="shared" si="1"/>
        <v>0</v>
      </c>
      <c r="H20" s="386">
        <v>0</v>
      </c>
      <c r="I20" s="386">
        <v>0</v>
      </c>
      <c r="J20" s="328">
        <f>H20+I20</f>
        <v>0</v>
      </c>
      <c r="K20" s="304">
        <f>D20-J20</f>
        <v>0</v>
      </c>
      <c r="L20" s="387">
        <f aca="true" t="shared" si="5" ref="L20:L30">IF(F20&lt;&gt;0,ROUNDDOWN(G20-(G20*D20/F20),0),0)</f>
        <v>0</v>
      </c>
      <c r="M20" s="387">
        <f aca="true" t="shared" si="6" ref="M20:M30">IF(J20&lt;&gt;0,ROUND((G20-L20)*(H20/J20),0),0)</f>
        <v>0</v>
      </c>
      <c r="N20" s="328">
        <f t="shared" si="2"/>
        <v>0</v>
      </c>
      <c r="O20" s="387">
        <f aca="true" t="shared" si="7" ref="O20:O30">IF(J20&lt;&gt;0,ROUND(+K20*H20/J20,0),0)</f>
        <v>0</v>
      </c>
      <c r="P20" s="328">
        <f>K20-O20</f>
        <v>0</v>
      </c>
      <c r="Q20" s="244">
        <v>0</v>
      </c>
      <c r="R20" s="336">
        <f t="shared" si="3"/>
        <v>0</v>
      </c>
      <c r="S20" s="335">
        <f t="shared" si="4"/>
        <v>0</v>
      </c>
      <c r="T20" s="323">
        <f aca="true" t="shared" si="8" ref="T20:T30">Q20+R20+S20</f>
        <v>0</v>
      </c>
      <c r="U20" s="307"/>
    </row>
    <row r="21" spans="2:21" ht="14.25">
      <c r="B21" s="248" t="s">
        <v>338</v>
      </c>
      <c r="C21" s="386">
        <v>0</v>
      </c>
      <c r="D21" s="386">
        <v>0</v>
      </c>
      <c r="E21" s="386">
        <v>0</v>
      </c>
      <c r="F21" s="328">
        <f t="shared" si="0"/>
        <v>0</v>
      </c>
      <c r="G21" s="304">
        <f t="shared" si="1"/>
        <v>0</v>
      </c>
      <c r="H21" s="386">
        <v>0</v>
      </c>
      <c r="I21" s="386">
        <v>0</v>
      </c>
      <c r="J21" s="328">
        <f aca="true" t="shared" si="9" ref="J21:J30">H21+I21</f>
        <v>0</v>
      </c>
      <c r="K21" s="304">
        <f aca="true" t="shared" si="10" ref="K21:K30">D21-J21</f>
        <v>0</v>
      </c>
      <c r="L21" s="387">
        <f t="shared" si="5"/>
        <v>0</v>
      </c>
      <c r="M21" s="387">
        <f t="shared" si="6"/>
        <v>0</v>
      </c>
      <c r="N21" s="328">
        <f t="shared" si="2"/>
        <v>0</v>
      </c>
      <c r="O21" s="387">
        <f t="shared" si="7"/>
        <v>0</v>
      </c>
      <c r="P21" s="328">
        <f>K21-O21</f>
        <v>0</v>
      </c>
      <c r="Q21" s="244">
        <v>0</v>
      </c>
      <c r="R21" s="336">
        <f t="shared" si="3"/>
        <v>0</v>
      </c>
      <c r="S21" s="335">
        <f t="shared" si="4"/>
        <v>0</v>
      </c>
      <c r="T21" s="323">
        <f t="shared" si="8"/>
        <v>0</v>
      </c>
      <c r="U21" s="307"/>
    </row>
    <row r="22" spans="2:21" ht="14.25">
      <c r="B22" s="248" t="s">
        <v>339</v>
      </c>
      <c r="C22" s="386">
        <v>0</v>
      </c>
      <c r="D22" s="386">
        <v>0</v>
      </c>
      <c r="E22" s="386">
        <v>0</v>
      </c>
      <c r="F22" s="328">
        <f t="shared" si="0"/>
        <v>0</v>
      </c>
      <c r="G22" s="304">
        <f t="shared" si="1"/>
        <v>0</v>
      </c>
      <c r="H22" s="386">
        <v>0</v>
      </c>
      <c r="I22" s="386">
        <v>0</v>
      </c>
      <c r="J22" s="328">
        <f t="shared" si="9"/>
        <v>0</v>
      </c>
      <c r="K22" s="304">
        <f t="shared" si="10"/>
        <v>0</v>
      </c>
      <c r="L22" s="387">
        <f t="shared" si="5"/>
        <v>0</v>
      </c>
      <c r="M22" s="387">
        <f t="shared" si="6"/>
        <v>0</v>
      </c>
      <c r="N22" s="328">
        <f t="shared" si="2"/>
        <v>0</v>
      </c>
      <c r="O22" s="387">
        <f t="shared" si="7"/>
        <v>0</v>
      </c>
      <c r="P22" s="328">
        <f>K22-O22</f>
        <v>0</v>
      </c>
      <c r="Q22" s="244">
        <v>0</v>
      </c>
      <c r="R22" s="336">
        <f t="shared" si="3"/>
        <v>0</v>
      </c>
      <c r="S22" s="335">
        <f t="shared" si="4"/>
        <v>0</v>
      </c>
      <c r="T22" s="323">
        <f t="shared" si="8"/>
        <v>0</v>
      </c>
      <c r="U22" s="307"/>
    </row>
    <row r="23" spans="2:21" ht="14.25">
      <c r="B23" s="248" t="s">
        <v>340</v>
      </c>
      <c r="C23" s="386">
        <v>0</v>
      </c>
      <c r="D23" s="386">
        <v>0</v>
      </c>
      <c r="E23" s="386">
        <v>0</v>
      </c>
      <c r="F23" s="328">
        <f t="shared" si="0"/>
        <v>0</v>
      </c>
      <c r="G23" s="304">
        <f t="shared" si="1"/>
        <v>0</v>
      </c>
      <c r="H23" s="386">
        <v>0</v>
      </c>
      <c r="I23" s="386">
        <v>0</v>
      </c>
      <c r="J23" s="328">
        <f t="shared" si="9"/>
        <v>0</v>
      </c>
      <c r="K23" s="304">
        <f t="shared" si="10"/>
        <v>0</v>
      </c>
      <c r="L23" s="387">
        <f t="shared" si="5"/>
        <v>0</v>
      </c>
      <c r="M23" s="387">
        <f t="shared" si="6"/>
        <v>0</v>
      </c>
      <c r="N23" s="328">
        <f t="shared" si="2"/>
        <v>0</v>
      </c>
      <c r="O23" s="387">
        <f t="shared" si="7"/>
        <v>0</v>
      </c>
      <c r="P23" s="328">
        <f>K23-O23</f>
        <v>0</v>
      </c>
      <c r="Q23" s="244">
        <v>0</v>
      </c>
      <c r="R23" s="336">
        <f t="shared" si="3"/>
        <v>0</v>
      </c>
      <c r="S23" s="335">
        <f t="shared" si="4"/>
        <v>0</v>
      </c>
      <c r="T23" s="323">
        <f t="shared" si="8"/>
        <v>0</v>
      </c>
      <c r="U23" s="307"/>
    </row>
    <row r="24" spans="2:21" ht="14.25">
      <c r="B24" s="248" t="s">
        <v>341</v>
      </c>
      <c r="C24" s="386">
        <v>6215</v>
      </c>
      <c r="D24" s="386">
        <v>4505</v>
      </c>
      <c r="E24" s="386">
        <v>39</v>
      </c>
      <c r="F24" s="328">
        <f t="shared" si="0"/>
        <v>4544</v>
      </c>
      <c r="G24" s="304">
        <f t="shared" si="1"/>
        <v>1671</v>
      </c>
      <c r="H24" s="386">
        <v>1542</v>
      </c>
      <c r="I24" s="386">
        <v>1000</v>
      </c>
      <c r="J24" s="328">
        <f t="shared" si="9"/>
        <v>2542</v>
      </c>
      <c r="K24" s="304">
        <f>D24-J24</f>
        <v>1963</v>
      </c>
      <c r="L24" s="387">
        <f t="shared" si="5"/>
        <v>14</v>
      </c>
      <c r="M24" s="387">
        <f t="shared" si="6"/>
        <v>1005</v>
      </c>
      <c r="N24" s="328">
        <f t="shared" si="2"/>
        <v>652</v>
      </c>
      <c r="O24" s="387">
        <f t="shared" si="7"/>
        <v>1191</v>
      </c>
      <c r="P24" s="328">
        <f aca="true" t="shared" si="11" ref="P24:P29">K24-O24</f>
        <v>772</v>
      </c>
      <c r="Q24" s="244">
        <v>0</v>
      </c>
      <c r="R24" s="336">
        <f t="shared" si="3"/>
        <v>3738</v>
      </c>
      <c r="S24" s="335">
        <f t="shared" si="4"/>
        <v>2424</v>
      </c>
      <c r="T24" s="323">
        <f t="shared" si="8"/>
        <v>6162</v>
      </c>
      <c r="U24" s="307"/>
    </row>
    <row r="25" spans="2:21" ht="14.25">
      <c r="B25" s="248" t="s">
        <v>342</v>
      </c>
      <c r="C25" s="386">
        <v>14329</v>
      </c>
      <c r="D25" s="386">
        <v>11408</v>
      </c>
      <c r="E25" s="386">
        <v>123</v>
      </c>
      <c r="F25" s="328">
        <f t="shared" si="0"/>
        <v>11531</v>
      </c>
      <c r="G25" s="304">
        <f t="shared" si="1"/>
        <v>2798</v>
      </c>
      <c r="H25" s="386">
        <v>4281</v>
      </c>
      <c r="I25" s="386">
        <v>3799</v>
      </c>
      <c r="J25" s="328">
        <f t="shared" si="9"/>
        <v>8080</v>
      </c>
      <c r="K25" s="304">
        <f t="shared" si="10"/>
        <v>3328</v>
      </c>
      <c r="L25" s="387">
        <f t="shared" si="5"/>
        <v>29</v>
      </c>
      <c r="M25" s="387">
        <f t="shared" si="6"/>
        <v>1467</v>
      </c>
      <c r="N25" s="328">
        <f t="shared" si="2"/>
        <v>1302</v>
      </c>
      <c r="O25" s="387">
        <f t="shared" si="7"/>
        <v>1763</v>
      </c>
      <c r="P25" s="328">
        <f t="shared" si="11"/>
        <v>1565</v>
      </c>
      <c r="Q25" s="244">
        <v>0</v>
      </c>
      <c r="R25" s="336">
        <f t="shared" si="3"/>
        <v>7511</v>
      </c>
      <c r="S25" s="335">
        <f t="shared" si="4"/>
        <v>6666</v>
      </c>
      <c r="T25" s="323">
        <f t="shared" si="8"/>
        <v>14177</v>
      </c>
      <c r="U25" s="307"/>
    </row>
    <row r="26" spans="2:21" ht="14.25">
      <c r="B26" s="248" t="s">
        <v>343</v>
      </c>
      <c r="C26" s="386">
        <v>10425</v>
      </c>
      <c r="D26" s="386">
        <v>8220</v>
      </c>
      <c r="E26" s="386">
        <v>85</v>
      </c>
      <c r="F26" s="328">
        <f t="shared" si="0"/>
        <v>8305</v>
      </c>
      <c r="G26" s="304">
        <f t="shared" si="1"/>
        <v>2120</v>
      </c>
      <c r="H26" s="386">
        <v>3063</v>
      </c>
      <c r="I26" s="386">
        <v>2453</v>
      </c>
      <c r="J26" s="328">
        <f t="shared" si="9"/>
        <v>5516</v>
      </c>
      <c r="K26" s="304">
        <f t="shared" si="10"/>
        <v>2704</v>
      </c>
      <c r="L26" s="387">
        <f t="shared" si="5"/>
        <v>21</v>
      </c>
      <c r="M26" s="387">
        <f t="shared" si="6"/>
        <v>1166</v>
      </c>
      <c r="N26" s="328">
        <f t="shared" si="2"/>
        <v>933</v>
      </c>
      <c r="O26" s="387">
        <f t="shared" si="7"/>
        <v>1502</v>
      </c>
      <c r="P26" s="328">
        <f t="shared" si="11"/>
        <v>1202</v>
      </c>
      <c r="Q26" s="244">
        <v>0</v>
      </c>
      <c r="R26" s="336">
        <f t="shared" si="3"/>
        <v>5731</v>
      </c>
      <c r="S26" s="335">
        <f t="shared" si="4"/>
        <v>4588</v>
      </c>
      <c r="T26" s="323">
        <f t="shared" si="8"/>
        <v>10319</v>
      </c>
      <c r="U26" s="307"/>
    </row>
    <row r="27" spans="2:21" ht="14.25">
      <c r="B27" s="248" t="s">
        <v>344</v>
      </c>
      <c r="C27" s="386">
        <v>1255</v>
      </c>
      <c r="D27" s="386">
        <v>1164</v>
      </c>
      <c r="E27" s="386">
        <v>0</v>
      </c>
      <c r="F27" s="328">
        <f t="shared" si="0"/>
        <v>1164</v>
      </c>
      <c r="G27" s="304">
        <f t="shared" si="1"/>
        <v>91</v>
      </c>
      <c r="H27" s="386">
        <v>229</v>
      </c>
      <c r="I27" s="386">
        <v>405</v>
      </c>
      <c r="J27" s="328">
        <f t="shared" si="9"/>
        <v>634</v>
      </c>
      <c r="K27" s="304">
        <f t="shared" si="10"/>
        <v>530</v>
      </c>
      <c r="L27" s="387">
        <f t="shared" si="5"/>
        <v>0</v>
      </c>
      <c r="M27" s="387">
        <f t="shared" si="6"/>
        <v>33</v>
      </c>
      <c r="N27" s="328">
        <f t="shared" si="2"/>
        <v>58</v>
      </c>
      <c r="O27" s="387">
        <f t="shared" si="7"/>
        <v>191</v>
      </c>
      <c r="P27" s="328">
        <f t="shared" si="11"/>
        <v>339</v>
      </c>
      <c r="Q27" s="244">
        <v>0</v>
      </c>
      <c r="R27" s="336">
        <f t="shared" si="3"/>
        <v>453</v>
      </c>
      <c r="S27" s="335">
        <f t="shared" si="4"/>
        <v>802</v>
      </c>
      <c r="T27" s="323">
        <f t="shared" si="8"/>
        <v>1255</v>
      </c>
      <c r="U27" s="307"/>
    </row>
    <row r="28" spans="2:20" ht="14.25">
      <c r="B28" s="248" t="s">
        <v>345</v>
      </c>
      <c r="C28" s="386">
        <v>0</v>
      </c>
      <c r="D28" s="386">
        <v>0</v>
      </c>
      <c r="E28" s="386">
        <v>0</v>
      </c>
      <c r="F28" s="328">
        <f t="shared" si="0"/>
        <v>0</v>
      </c>
      <c r="G28" s="304">
        <f t="shared" si="1"/>
        <v>0</v>
      </c>
      <c r="H28" s="386">
        <v>0</v>
      </c>
      <c r="I28" s="386">
        <v>0</v>
      </c>
      <c r="J28" s="328">
        <f t="shared" si="9"/>
        <v>0</v>
      </c>
      <c r="K28" s="304">
        <f t="shared" si="10"/>
        <v>0</v>
      </c>
      <c r="L28" s="387">
        <f t="shared" si="5"/>
        <v>0</v>
      </c>
      <c r="M28" s="387">
        <f t="shared" si="6"/>
        <v>0</v>
      </c>
      <c r="N28" s="328">
        <f t="shared" si="2"/>
        <v>0</v>
      </c>
      <c r="O28" s="387">
        <f t="shared" si="7"/>
        <v>0</v>
      </c>
      <c r="P28" s="328">
        <f t="shared" si="11"/>
        <v>0</v>
      </c>
      <c r="Q28" s="244">
        <v>0</v>
      </c>
      <c r="R28" s="336">
        <f t="shared" si="3"/>
        <v>0</v>
      </c>
      <c r="S28" s="335">
        <f t="shared" si="4"/>
        <v>0</v>
      </c>
      <c r="T28" s="323">
        <f t="shared" si="8"/>
        <v>0</v>
      </c>
    </row>
    <row r="29" spans="2:20" ht="14.25">
      <c r="B29" s="248" t="s">
        <v>346</v>
      </c>
      <c r="C29" s="386">
        <v>0</v>
      </c>
      <c r="D29" s="386">
        <v>0</v>
      </c>
      <c r="E29" s="386">
        <v>0</v>
      </c>
      <c r="F29" s="328">
        <f t="shared" si="0"/>
        <v>0</v>
      </c>
      <c r="G29" s="304">
        <f t="shared" si="1"/>
        <v>0</v>
      </c>
      <c r="H29" s="386">
        <v>0</v>
      </c>
      <c r="I29" s="386">
        <v>0</v>
      </c>
      <c r="J29" s="328">
        <f t="shared" si="9"/>
        <v>0</v>
      </c>
      <c r="K29" s="304">
        <f t="shared" si="10"/>
        <v>0</v>
      </c>
      <c r="L29" s="387">
        <f t="shared" si="5"/>
        <v>0</v>
      </c>
      <c r="M29" s="387">
        <f t="shared" si="6"/>
        <v>0</v>
      </c>
      <c r="N29" s="328">
        <f t="shared" si="2"/>
        <v>0</v>
      </c>
      <c r="O29" s="387">
        <f t="shared" si="7"/>
        <v>0</v>
      </c>
      <c r="P29" s="328">
        <f t="shared" si="11"/>
        <v>0</v>
      </c>
      <c r="Q29" s="244">
        <v>0</v>
      </c>
      <c r="R29" s="336">
        <f t="shared" si="3"/>
        <v>0</v>
      </c>
      <c r="S29" s="335">
        <f t="shared" si="4"/>
        <v>0</v>
      </c>
      <c r="T29" s="323">
        <f t="shared" si="8"/>
        <v>0</v>
      </c>
    </row>
    <row r="30" spans="2:20" ht="14.25">
      <c r="B30" s="248" t="s">
        <v>347</v>
      </c>
      <c r="C30" s="386">
        <v>0</v>
      </c>
      <c r="D30" s="386">
        <v>0</v>
      </c>
      <c r="E30" s="386">
        <v>0</v>
      </c>
      <c r="F30" s="328">
        <f>D30+E30</f>
        <v>0</v>
      </c>
      <c r="G30" s="304">
        <f>C30-F30</f>
        <v>0</v>
      </c>
      <c r="H30" s="386">
        <v>0</v>
      </c>
      <c r="I30" s="386">
        <v>0</v>
      </c>
      <c r="J30" s="328">
        <f t="shared" si="9"/>
        <v>0</v>
      </c>
      <c r="K30" s="304">
        <f t="shared" si="10"/>
        <v>0</v>
      </c>
      <c r="L30" s="387">
        <f t="shared" si="5"/>
        <v>0</v>
      </c>
      <c r="M30" s="387">
        <f t="shared" si="6"/>
        <v>0</v>
      </c>
      <c r="N30" s="328">
        <f>G30-M30-L30</f>
        <v>0</v>
      </c>
      <c r="O30" s="387">
        <f t="shared" si="7"/>
        <v>0</v>
      </c>
      <c r="P30" s="328">
        <f>K30-O30</f>
        <v>0</v>
      </c>
      <c r="Q30" s="244">
        <v>0</v>
      </c>
      <c r="R30" s="336">
        <f t="shared" si="3"/>
        <v>0</v>
      </c>
      <c r="S30" s="335">
        <f>I30+N30+P30</f>
        <v>0</v>
      </c>
      <c r="T30" s="323">
        <f t="shared" si="8"/>
        <v>0</v>
      </c>
    </row>
    <row r="31" spans="2:20" ht="15" thickBot="1">
      <c r="B31" s="248"/>
      <c r="C31" s="246"/>
      <c r="D31" s="246"/>
      <c r="E31" s="246"/>
      <c r="F31" s="245"/>
      <c r="G31" s="245"/>
      <c r="H31" s="246"/>
      <c r="I31" s="246"/>
      <c r="J31" s="245"/>
      <c r="K31" s="245"/>
      <c r="L31" s="311"/>
      <c r="M31" s="246"/>
      <c r="N31" s="245"/>
      <c r="O31" s="311"/>
      <c r="P31" s="245"/>
      <c r="Q31" s="244"/>
      <c r="R31" s="246"/>
      <c r="S31" s="245"/>
      <c r="T31" s="324"/>
    </row>
    <row r="32" spans="2:20" ht="15" thickTop="1">
      <c r="B32" s="242" t="s">
        <v>4</v>
      </c>
      <c r="C32" s="243">
        <f>SUM(C19:C30)</f>
        <v>32224</v>
      </c>
      <c r="D32" s="243">
        <f>SUM(D19:D30)</f>
        <v>25297</v>
      </c>
      <c r="E32" s="243">
        <f>SUM(E19:E30)</f>
        <v>247</v>
      </c>
      <c r="F32" s="322">
        <f aca="true" t="shared" si="12" ref="F32:K32">SUM(F19:F30)</f>
        <v>25544</v>
      </c>
      <c r="G32" s="322">
        <f t="shared" si="12"/>
        <v>6680</v>
      </c>
      <c r="H32" s="243">
        <f t="shared" si="12"/>
        <v>9115</v>
      </c>
      <c r="I32" s="243">
        <f t="shared" si="12"/>
        <v>7657</v>
      </c>
      <c r="J32" s="243">
        <f t="shared" si="12"/>
        <v>16772</v>
      </c>
      <c r="K32" s="243">
        <f t="shared" si="12"/>
        <v>8525</v>
      </c>
      <c r="L32" s="247">
        <f aca="true" t="shared" si="13" ref="L32:T32">SUM(L19:L30)</f>
        <v>64</v>
      </c>
      <c r="M32" s="243">
        <f t="shared" si="13"/>
        <v>3671</v>
      </c>
      <c r="N32" s="322">
        <f t="shared" si="13"/>
        <v>2945</v>
      </c>
      <c r="O32" s="247">
        <f t="shared" si="13"/>
        <v>4647</v>
      </c>
      <c r="P32" s="243">
        <f t="shared" si="13"/>
        <v>3878</v>
      </c>
      <c r="Q32" s="247">
        <f t="shared" si="13"/>
        <v>0</v>
      </c>
      <c r="R32" s="243">
        <f t="shared" si="13"/>
        <v>17433</v>
      </c>
      <c r="S32" s="322">
        <f t="shared" si="13"/>
        <v>14480</v>
      </c>
      <c r="T32" s="311">
        <f t="shared" si="13"/>
        <v>31913</v>
      </c>
    </row>
    <row r="34" ht="14.25">
      <c r="A34" s="185" t="s">
        <v>615</v>
      </c>
    </row>
    <row r="35" spans="1:10" ht="14.25">
      <c r="A35" s="185" t="s">
        <v>611</v>
      </c>
      <c r="J35" s="307"/>
    </row>
    <row r="36" ht="14.25">
      <c r="B36" s="185" t="s">
        <v>612</v>
      </c>
    </row>
    <row r="37" ht="14.25">
      <c r="B37" s="185" t="s">
        <v>613</v>
      </c>
    </row>
    <row r="38" ht="14.25">
      <c r="B38" s="185" t="s">
        <v>614</v>
      </c>
    </row>
    <row r="41" spans="4:6" ht="14.25">
      <c r="D41" s="185">
        <f>C24+C25+C26</f>
        <v>30969</v>
      </c>
      <c r="E41" s="185">
        <f>D24+D25+D26</f>
        <v>24133</v>
      </c>
      <c r="F41" s="185">
        <f>E41+M32</f>
        <v>27804</v>
      </c>
    </row>
  </sheetData>
  <sheetProtection/>
  <printOptions/>
  <pageMargins left="0.75" right="0.75" top="1" bottom="1" header="0.5" footer="0.5"/>
  <pageSetup fitToHeight="1" fitToWidth="1" horizontalDpi="600" verticalDpi="600" orientation="landscape" scale="59" r:id="rId1"/>
  <headerFooter alignWithMargins="0">
    <oddHeader>&amp;LRRCA
Compact Accounting&amp;RPage &amp;P of &amp;N</oddHeader>
  </headerFooter>
</worksheet>
</file>

<file path=xl/worksheets/sheet29.xml><?xml version="1.0" encoding="utf-8"?>
<worksheet xmlns="http://schemas.openxmlformats.org/spreadsheetml/2006/main" xmlns:r="http://schemas.openxmlformats.org/officeDocument/2006/relationships">
  <dimension ref="A1:L27"/>
  <sheetViews>
    <sheetView zoomScalePageLayoutView="0" workbookViewId="0" topLeftCell="B1">
      <selection activeCell="F24" sqref="F24"/>
    </sheetView>
  </sheetViews>
  <sheetFormatPr defaultColWidth="9.140625" defaultRowHeight="12.75"/>
  <cols>
    <col min="1" max="1" width="10.7109375" style="0" customWidth="1"/>
    <col min="2" max="2" width="23.00390625" style="0" bestFit="1" customWidth="1"/>
    <col min="3" max="3" width="21.8515625" style="0" bestFit="1" customWidth="1"/>
    <col min="4" max="4" width="18.8515625" style="0" bestFit="1" customWidth="1"/>
    <col min="5" max="5" width="13.8515625" style="0" bestFit="1" customWidth="1"/>
    <col min="6" max="6" width="14.8515625" style="0" customWidth="1"/>
    <col min="8" max="8" width="23.7109375" style="0" customWidth="1"/>
    <col min="9" max="9" width="14.421875" style="0" customWidth="1"/>
    <col min="10" max="10" width="14.57421875" style="0" customWidth="1"/>
  </cols>
  <sheetData>
    <row r="1" spans="2:5" ht="22.5">
      <c r="B1" s="472" t="s">
        <v>500</v>
      </c>
      <c r="C1" s="473"/>
      <c r="D1" s="473"/>
      <c r="E1" s="474"/>
    </row>
    <row r="2" spans="2:11" ht="18.75">
      <c r="B2" s="420">
        <v>2008</v>
      </c>
      <c r="C2" s="421"/>
      <c r="D2" s="421"/>
      <c r="E2" s="422"/>
      <c r="H2" s="465">
        <v>2007</v>
      </c>
      <c r="I2" s="466"/>
      <c r="J2" s="466"/>
      <c r="K2" s="467"/>
    </row>
    <row r="3" spans="1:12" ht="18.75">
      <c r="A3" s="62" t="s">
        <v>661</v>
      </c>
      <c r="B3" s="258" t="s">
        <v>486</v>
      </c>
      <c r="C3" s="259" t="s">
        <v>487</v>
      </c>
      <c r="D3" s="259" t="s">
        <v>488</v>
      </c>
      <c r="E3" s="260" t="s">
        <v>498</v>
      </c>
      <c r="F3" s="298" t="s">
        <v>501</v>
      </c>
      <c r="H3" s="258" t="s">
        <v>486</v>
      </c>
      <c r="I3" s="259" t="s">
        <v>487</v>
      </c>
      <c r="J3" s="259" t="s">
        <v>488</v>
      </c>
      <c r="K3" s="260" t="s">
        <v>498</v>
      </c>
      <c r="L3" s="298" t="s">
        <v>501</v>
      </c>
    </row>
    <row r="4" spans="2:12" ht="18.75">
      <c r="B4" s="258"/>
      <c r="C4" s="423" t="s">
        <v>497</v>
      </c>
      <c r="D4" s="423" t="s">
        <v>497</v>
      </c>
      <c r="E4" s="261" t="s">
        <v>499</v>
      </c>
      <c r="F4" s="299" t="s">
        <v>497</v>
      </c>
      <c r="H4" s="258"/>
      <c r="I4" s="468" t="s">
        <v>497</v>
      </c>
      <c r="J4" s="469"/>
      <c r="K4" s="261" t="s">
        <v>499</v>
      </c>
      <c r="L4" s="299" t="s">
        <v>497</v>
      </c>
    </row>
    <row r="5" spans="1:12" ht="18.75">
      <c r="A5" s="62" t="s">
        <v>17</v>
      </c>
      <c r="B5" s="258" t="s">
        <v>494</v>
      </c>
      <c r="C5">
        <v>3552</v>
      </c>
      <c r="D5" s="303">
        <v>1979.8521250000001</v>
      </c>
      <c r="E5" s="297">
        <f aca="true" t="shared" si="0" ref="E5:E12">D5/C5</f>
        <v>0.5573908009572073</v>
      </c>
      <c r="F5">
        <v>1400.0000000000005</v>
      </c>
      <c r="H5" s="258" t="s">
        <v>494</v>
      </c>
      <c r="I5">
        <v>3905</v>
      </c>
      <c r="J5" s="303">
        <v>2715.5</v>
      </c>
      <c r="K5" s="297">
        <f aca="true" t="shared" si="1" ref="K5:K12">J5/I5</f>
        <v>0.6953905249679898</v>
      </c>
      <c r="L5">
        <v>-2000</v>
      </c>
    </row>
    <row r="6" spans="1:12" ht="18.75">
      <c r="A6" s="62" t="s">
        <v>18</v>
      </c>
      <c r="B6" s="258" t="s">
        <v>489</v>
      </c>
      <c r="C6">
        <v>2951</v>
      </c>
      <c r="D6" s="303">
        <v>1217.3028333333334</v>
      </c>
      <c r="E6" s="297">
        <f t="shared" si="0"/>
        <v>0.4125051959787643</v>
      </c>
      <c r="F6">
        <v>-1499.9999999999982</v>
      </c>
      <c r="H6" s="258" t="s">
        <v>489</v>
      </c>
      <c r="I6">
        <v>3525</v>
      </c>
      <c r="J6" s="303">
        <v>1589.1</v>
      </c>
      <c r="K6" s="297">
        <f t="shared" si="1"/>
        <v>0.45080851063829785</v>
      </c>
      <c r="L6">
        <v>5800</v>
      </c>
    </row>
    <row r="7" spans="1:12" ht="18.75">
      <c r="A7" s="275" t="s">
        <v>20</v>
      </c>
      <c r="B7" s="258" t="s">
        <v>492</v>
      </c>
      <c r="C7">
        <v>4662</v>
      </c>
      <c r="D7" s="303">
        <v>1202.3989166666668</v>
      </c>
      <c r="E7" s="297">
        <f t="shared" si="0"/>
        <v>0.2579148255398256</v>
      </c>
      <c r="F7">
        <v>1500</v>
      </c>
      <c r="H7" s="258" t="s">
        <v>492</v>
      </c>
      <c r="I7">
        <v>4694</v>
      </c>
      <c r="J7" s="303">
        <v>2368.7</v>
      </c>
      <c r="K7" s="297">
        <f t="shared" si="1"/>
        <v>0.5046229228802727</v>
      </c>
      <c r="L7">
        <v>11900</v>
      </c>
    </row>
    <row r="8" spans="1:12" ht="18.75">
      <c r="A8" s="275" t="s">
        <v>662</v>
      </c>
      <c r="B8" s="258" t="s">
        <v>491</v>
      </c>
      <c r="C8">
        <v>6295</v>
      </c>
      <c r="D8" s="303">
        <v>1591.4419999999998</v>
      </c>
      <c r="E8" s="297">
        <f t="shared" si="0"/>
        <v>0.25281048451151705</v>
      </c>
      <c r="F8">
        <v>-1000</v>
      </c>
      <c r="H8" s="258" t="s">
        <v>491</v>
      </c>
      <c r="I8">
        <v>5708</v>
      </c>
      <c r="J8" s="303">
        <v>1548.8</v>
      </c>
      <c r="K8" s="297">
        <f t="shared" si="1"/>
        <v>0.2713384723195515</v>
      </c>
      <c r="L8">
        <v>10400</v>
      </c>
    </row>
    <row r="9" spans="1:12" ht="19.5" thickBot="1">
      <c r="A9" s="275" t="s">
        <v>24</v>
      </c>
      <c r="B9" s="258" t="s">
        <v>495</v>
      </c>
      <c r="C9">
        <v>4855</v>
      </c>
      <c r="D9" s="303">
        <v>1223.8670000000002</v>
      </c>
      <c r="E9" s="297">
        <f t="shared" si="0"/>
        <v>0.2520838311019568</v>
      </c>
      <c r="F9" s="300">
        <v>6600.000000000002</v>
      </c>
      <c r="H9" s="258" t="s">
        <v>495</v>
      </c>
      <c r="I9">
        <v>4345</v>
      </c>
      <c r="J9" s="303">
        <v>2213.1</v>
      </c>
      <c r="K9" s="297">
        <f t="shared" si="1"/>
        <v>0.509344073647871</v>
      </c>
      <c r="L9" s="300">
        <v>1600</v>
      </c>
    </row>
    <row r="10" spans="1:12" ht="18.75">
      <c r="A10" s="275" t="s">
        <v>6</v>
      </c>
      <c r="B10" s="258" t="s">
        <v>493</v>
      </c>
      <c r="C10">
        <v>11792</v>
      </c>
      <c r="D10" s="303">
        <v>5526.676208333334</v>
      </c>
      <c r="E10" s="297">
        <f t="shared" si="0"/>
        <v>0.46868013978403444</v>
      </c>
      <c r="F10">
        <v>6799.999999999997</v>
      </c>
      <c r="H10" s="258" t="s">
        <v>493</v>
      </c>
      <c r="I10">
        <v>11956</v>
      </c>
      <c r="J10" s="303">
        <v>6443.9</v>
      </c>
      <c r="K10" s="297">
        <f t="shared" si="1"/>
        <v>0.5389678822348611</v>
      </c>
      <c r="L10">
        <v>8900</v>
      </c>
    </row>
    <row r="11" spans="1:12" ht="18.75">
      <c r="A11" s="275" t="s">
        <v>6</v>
      </c>
      <c r="B11" s="258" t="s">
        <v>490</v>
      </c>
      <c r="C11">
        <v>45985</v>
      </c>
      <c r="D11" s="303">
        <v>12238.509583333333</v>
      </c>
      <c r="E11" s="297">
        <v>0.2661413413794353</v>
      </c>
      <c r="F11">
        <v>63900.00000000001</v>
      </c>
      <c r="H11" s="258" t="s">
        <v>490</v>
      </c>
      <c r="I11">
        <v>38170</v>
      </c>
      <c r="J11" s="303">
        <v>14701</v>
      </c>
      <c r="K11" s="297">
        <f t="shared" si="1"/>
        <v>0.38514540214828397</v>
      </c>
      <c r="L11">
        <v>139100</v>
      </c>
    </row>
    <row r="12" spans="1:11" ht="18.75">
      <c r="A12" s="275" t="s">
        <v>6</v>
      </c>
      <c r="B12" s="262" t="s">
        <v>496</v>
      </c>
      <c r="C12">
        <v>8403</v>
      </c>
      <c r="D12" s="303">
        <v>233.25541666666663</v>
      </c>
      <c r="E12" s="297">
        <f t="shared" si="0"/>
        <v>0.02775858820262604</v>
      </c>
      <c r="F12">
        <v>99.99999999999787</v>
      </c>
      <c r="H12" s="262" t="s">
        <v>496</v>
      </c>
      <c r="I12">
        <v>8565</v>
      </c>
      <c r="J12" s="303">
        <v>878</v>
      </c>
      <c r="K12" s="297">
        <f t="shared" si="1"/>
        <v>0.10251021599532983</v>
      </c>
    </row>
    <row r="14" spans="2:9" ht="15.75">
      <c r="B14" s="62" t="s">
        <v>660</v>
      </c>
      <c r="H14" s="426" t="s">
        <v>659</v>
      </c>
      <c r="I14" s="62" t="s">
        <v>657</v>
      </c>
    </row>
    <row r="15" spans="2:8" ht="12.75">
      <c r="B15" s="62" t="s">
        <v>609</v>
      </c>
      <c r="H15" s="62" t="s">
        <v>658</v>
      </c>
    </row>
    <row r="16" ht="15">
      <c r="H16" s="384" t="s">
        <v>610</v>
      </c>
    </row>
    <row r="20" spans="2:6" ht="20.25">
      <c r="B20" s="471" t="s">
        <v>505</v>
      </c>
      <c r="C20" s="471"/>
      <c r="D20" s="471"/>
      <c r="E20" s="471"/>
      <c r="F20" s="471"/>
    </row>
    <row r="21" spans="2:6" ht="15.75">
      <c r="B21" s="264"/>
      <c r="C21" s="470" t="s">
        <v>504</v>
      </c>
      <c r="D21" s="470"/>
      <c r="E21" s="265"/>
      <c r="F21" s="266"/>
    </row>
    <row r="22" spans="2:6" ht="12.75">
      <c r="B22" s="267" t="s">
        <v>34</v>
      </c>
      <c r="C22" s="268" t="s">
        <v>175</v>
      </c>
      <c r="D22" s="268" t="s">
        <v>1</v>
      </c>
      <c r="E22" s="268" t="s">
        <v>175</v>
      </c>
      <c r="F22" s="269" t="s">
        <v>1</v>
      </c>
    </row>
    <row r="23" spans="2:6" ht="12.75">
      <c r="B23" s="267"/>
      <c r="C23" s="268" t="s">
        <v>502</v>
      </c>
      <c r="D23" s="268" t="s">
        <v>502</v>
      </c>
      <c r="E23" s="268" t="s">
        <v>503</v>
      </c>
      <c r="F23" s="269" t="s">
        <v>503</v>
      </c>
    </row>
    <row r="24" spans="2:6" ht="12.75">
      <c r="B24" s="412">
        <v>2008</v>
      </c>
      <c r="C24" s="411">
        <v>29131.722785025202</v>
      </c>
      <c r="D24" s="411">
        <v>22914.6008</v>
      </c>
      <c r="E24" s="270">
        <f>C24/(C24+D24)</f>
        <v>0.5597268121625213</v>
      </c>
      <c r="F24" s="270">
        <f>D24/(D24+C24)</f>
        <v>0.4402731878374787</v>
      </c>
    </row>
    <row r="26" spans="2:3" ht="12.75">
      <c r="B26" s="413" t="s">
        <v>648</v>
      </c>
      <c r="C26" s="62" t="s">
        <v>649</v>
      </c>
    </row>
    <row r="27" spans="2:3" ht="15.75">
      <c r="B27" s="263" t="s">
        <v>647</v>
      </c>
      <c r="C27" t="s">
        <v>531</v>
      </c>
    </row>
  </sheetData>
  <sheetProtection/>
  <mergeCells count="5">
    <mergeCell ref="H2:K2"/>
    <mergeCell ref="I4:J4"/>
    <mergeCell ref="C21:D21"/>
    <mergeCell ref="B20:F20"/>
    <mergeCell ref="B1:E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275"/>
  <sheetViews>
    <sheetView zoomScalePageLayoutView="0" workbookViewId="0" topLeftCell="A1">
      <pane xSplit="1" ySplit="1" topLeftCell="B227" activePane="bottomRight" state="frozen"/>
      <selection pane="topLeft" activeCell="A1" sqref="A1"/>
      <selection pane="topRight" activeCell="B1" sqref="B1"/>
      <selection pane="bottomLeft" activeCell="A2" sqref="A2"/>
      <selection pane="bottomRight" activeCell="C191" sqref="C191"/>
    </sheetView>
  </sheetViews>
  <sheetFormatPr defaultColWidth="9.140625" defaultRowHeight="12.75"/>
  <cols>
    <col min="1" max="1" width="18.421875" style="0" customWidth="1"/>
    <col min="2" max="2" width="38.7109375" style="0" customWidth="1"/>
    <col min="3" max="3" width="13.7109375" style="0" customWidth="1"/>
    <col min="5" max="5" width="7.7109375" style="0" customWidth="1"/>
    <col min="6" max="6" width="7.140625" style="0" customWidth="1"/>
    <col min="7" max="7" width="7.57421875" style="0" customWidth="1"/>
    <col min="8" max="8" width="12.00390625" style="0" bestFit="1" customWidth="1"/>
    <col min="9" max="9" width="10.7109375" style="398" bestFit="1" customWidth="1"/>
    <col min="10" max="10" width="11.7109375" style="398" bestFit="1" customWidth="1"/>
    <col min="11" max="11" width="19.8515625" style="0" customWidth="1"/>
  </cols>
  <sheetData>
    <row r="1" spans="1:12" ht="12.75">
      <c r="A1" s="5" t="s">
        <v>90</v>
      </c>
      <c r="B1" s="5"/>
      <c r="C1" s="5">
        <v>2008</v>
      </c>
      <c r="D1">
        <v>2003</v>
      </c>
      <c r="E1">
        <v>2004</v>
      </c>
      <c r="F1" s="275">
        <v>2005</v>
      </c>
      <c r="G1" s="275">
        <v>2006</v>
      </c>
      <c r="H1" s="275">
        <v>2007</v>
      </c>
      <c r="I1" s="399" t="s">
        <v>645</v>
      </c>
      <c r="J1" s="398" t="s">
        <v>618</v>
      </c>
      <c r="K1" s="62" t="s">
        <v>616</v>
      </c>
      <c r="L1" s="62" t="s">
        <v>617</v>
      </c>
    </row>
    <row r="2" spans="9:10" ht="12.75">
      <c r="I2" s="399" t="s">
        <v>619</v>
      </c>
      <c r="J2" s="399" t="s">
        <v>644</v>
      </c>
    </row>
    <row r="3" spans="1:3" ht="12.75">
      <c r="A3" s="5" t="s">
        <v>91</v>
      </c>
      <c r="B3" s="14"/>
      <c r="C3" s="14"/>
    </row>
    <row r="4" spans="1:12" ht="12.75">
      <c r="A4" s="53" t="s">
        <v>77</v>
      </c>
      <c r="B4" s="54" t="s">
        <v>207</v>
      </c>
      <c r="C4" s="197">
        <f>GM_output!B9</f>
        <v>14946</v>
      </c>
      <c r="D4">
        <v>14023</v>
      </c>
      <c r="E4">
        <v>14373</v>
      </c>
      <c r="F4" s="33">
        <v>14359</v>
      </c>
      <c r="G4">
        <v>14301</v>
      </c>
      <c r="H4">
        <v>14762</v>
      </c>
      <c r="I4" s="401"/>
      <c r="K4" s="388">
        <v>14946</v>
      </c>
      <c r="L4" s="274">
        <f>K4-C4</f>
        <v>0</v>
      </c>
    </row>
    <row r="5" spans="1:12" ht="12.75">
      <c r="A5" s="53" t="s">
        <v>78</v>
      </c>
      <c r="B5" s="54" t="s">
        <v>208</v>
      </c>
      <c r="C5" s="197">
        <f>GM_output!C9</f>
        <v>24</v>
      </c>
      <c r="D5">
        <v>17</v>
      </c>
      <c r="E5">
        <v>16</v>
      </c>
      <c r="F5" s="33">
        <v>17</v>
      </c>
      <c r="G5">
        <v>12</v>
      </c>
      <c r="H5">
        <v>14</v>
      </c>
      <c r="I5" s="401"/>
      <c r="K5" s="388">
        <v>24</v>
      </c>
      <c r="L5" s="274">
        <f aca="true" t="shared" si="0" ref="L5:L68">K5-C5</f>
        <v>0</v>
      </c>
    </row>
    <row r="6" spans="1:12" ht="12.75">
      <c r="A6" s="53"/>
      <c r="B6" s="54" t="s">
        <v>211</v>
      </c>
      <c r="C6" s="197">
        <f>GM_output!D9</f>
        <v>1471</v>
      </c>
      <c r="D6">
        <v>1402</v>
      </c>
      <c r="E6">
        <v>1446</v>
      </c>
      <c r="F6" s="33">
        <v>1443</v>
      </c>
      <c r="G6">
        <v>1366</v>
      </c>
      <c r="H6">
        <v>1422</v>
      </c>
      <c r="I6" s="401"/>
      <c r="K6" s="388">
        <v>1471</v>
      </c>
      <c r="L6" s="274">
        <f t="shared" si="0"/>
        <v>0</v>
      </c>
    </row>
    <row r="7" spans="1:12" ht="12.75">
      <c r="A7" t="s">
        <v>79</v>
      </c>
      <c r="B7" s="2" t="s">
        <v>207</v>
      </c>
      <c r="C7" s="198">
        <f>GM_output!B4</f>
        <v>1419</v>
      </c>
      <c r="D7">
        <v>242</v>
      </c>
      <c r="E7">
        <v>353</v>
      </c>
      <c r="F7" s="33">
        <v>811</v>
      </c>
      <c r="G7">
        <v>1116</v>
      </c>
      <c r="H7">
        <v>1143</v>
      </c>
      <c r="I7" s="401"/>
      <c r="K7" s="388">
        <v>1419</v>
      </c>
      <c r="L7" s="274">
        <f t="shared" si="0"/>
        <v>0</v>
      </c>
    </row>
    <row r="8" spans="1:12" ht="12.75">
      <c r="B8" s="2" t="s">
        <v>208</v>
      </c>
      <c r="C8" s="198">
        <f>GM_output!C4</f>
        <v>93</v>
      </c>
      <c r="D8">
        <v>100</v>
      </c>
      <c r="E8">
        <v>116</v>
      </c>
      <c r="F8" s="33">
        <v>122</v>
      </c>
      <c r="G8">
        <v>84</v>
      </c>
      <c r="H8">
        <v>99</v>
      </c>
      <c r="I8" s="401"/>
      <c r="K8" s="388">
        <v>93</v>
      </c>
      <c r="L8" s="274">
        <f t="shared" si="0"/>
        <v>0</v>
      </c>
    </row>
    <row r="9" spans="2:12" ht="12.75">
      <c r="B9" s="2" t="s">
        <v>211</v>
      </c>
      <c r="C9" s="198">
        <f>GM_output!D4</f>
        <v>128</v>
      </c>
      <c r="D9">
        <v>508</v>
      </c>
      <c r="E9">
        <v>431</v>
      </c>
      <c r="F9" s="33">
        <v>250</v>
      </c>
      <c r="G9">
        <v>125</v>
      </c>
      <c r="H9">
        <v>112</v>
      </c>
      <c r="I9" s="401"/>
      <c r="K9" s="388">
        <v>128</v>
      </c>
      <c r="L9" s="274">
        <f t="shared" si="0"/>
        <v>0</v>
      </c>
    </row>
    <row r="10" spans="1:12" ht="12.75">
      <c r="A10" s="53" t="s">
        <v>80</v>
      </c>
      <c r="B10" s="54" t="s">
        <v>207</v>
      </c>
      <c r="C10" s="197">
        <f>GM_output!B6</f>
        <v>354</v>
      </c>
      <c r="D10">
        <v>265</v>
      </c>
      <c r="E10">
        <v>290</v>
      </c>
      <c r="F10" s="33">
        <v>306</v>
      </c>
      <c r="G10">
        <v>319</v>
      </c>
      <c r="H10">
        <v>336</v>
      </c>
      <c r="I10" s="401"/>
      <c r="K10" s="388">
        <v>354</v>
      </c>
      <c r="L10" s="274">
        <f t="shared" si="0"/>
        <v>0</v>
      </c>
    </row>
    <row r="11" spans="1:12" ht="12.75">
      <c r="A11" s="53" t="s">
        <v>78</v>
      </c>
      <c r="B11" s="54" t="s">
        <v>208</v>
      </c>
      <c r="C11" s="197">
        <f>GM_output!C6</f>
        <v>0</v>
      </c>
      <c r="D11">
        <v>0</v>
      </c>
      <c r="E11">
        <v>0</v>
      </c>
      <c r="F11" s="33">
        <v>0</v>
      </c>
      <c r="G11">
        <v>0</v>
      </c>
      <c r="H11">
        <v>0</v>
      </c>
      <c r="I11" s="401"/>
      <c r="K11" s="388">
        <v>0</v>
      </c>
      <c r="L11" s="274">
        <f t="shared" si="0"/>
        <v>0</v>
      </c>
    </row>
    <row r="12" spans="1:12" ht="12.75">
      <c r="A12" s="53"/>
      <c r="B12" s="54" t="s">
        <v>211</v>
      </c>
      <c r="C12" s="197">
        <f>GM_output!D6</f>
        <v>3298</v>
      </c>
      <c r="D12">
        <v>3338</v>
      </c>
      <c r="E12">
        <v>3333</v>
      </c>
      <c r="F12" s="33">
        <v>3357</v>
      </c>
      <c r="G12">
        <v>3335</v>
      </c>
      <c r="H12">
        <v>3313</v>
      </c>
      <c r="I12" s="401"/>
      <c r="K12" s="388">
        <v>3298</v>
      </c>
      <c r="L12" s="274">
        <f t="shared" si="0"/>
        <v>0</v>
      </c>
    </row>
    <row r="13" spans="1:12" ht="12.75">
      <c r="A13" s="17" t="s">
        <v>81</v>
      </c>
      <c r="B13" s="9" t="s">
        <v>207</v>
      </c>
      <c r="C13" s="198">
        <f>GM_output!B17</f>
        <v>75</v>
      </c>
      <c r="D13">
        <v>59</v>
      </c>
      <c r="E13">
        <v>58</v>
      </c>
      <c r="F13" s="33">
        <v>61</v>
      </c>
      <c r="G13">
        <v>64</v>
      </c>
      <c r="H13">
        <v>70</v>
      </c>
      <c r="I13" s="401"/>
      <c r="K13" s="388">
        <v>75</v>
      </c>
      <c r="L13" s="274">
        <f t="shared" si="0"/>
        <v>0</v>
      </c>
    </row>
    <row r="14" spans="1:12" ht="12.75">
      <c r="A14" s="17" t="s">
        <v>78</v>
      </c>
      <c r="B14" s="9" t="s">
        <v>208</v>
      </c>
      <c r="C14" s="198">
        <f>GM_output!C17</f>
        <v>0</v>
      </c>
      <c r="D14">
        <v>0</v>
      </c>
      <c r="E14">
        <v>0</v>
      </c>
      <c r="F14" s="33">
        <v>0</v>
      </c>
      <c r="G14">
        <v>0</v>
      </c>
      <c r="H14">
        <v>0</v>
      </c>
      <c r="I14" s="401"/>
      <c r="K14" s="388">
        <v>0</v>
      </c>
      <c r="L14" s="274">
        <f t="shared" si="0"/>
        <v>0</v>
      </c>
    </row>
    <row r="15" spans="1:12" ht="12.75">
      <c r="A15" s="17"/>
      <c r="B15" s="9" t="s">
        <v>211</v>
      </c>
      <c r="C15" s="198">
        <f>GM_output!D17</f>
        <v>4124</v>
      </c>
      <c r="D15">
        <v>3419</v>
      </c>
      <c r="E15">
        <v>3581</v>
      </c>
      <c r="F15" s="33">
        <v>3744</v>
      </c>
      <c r="G15">
        <v>3845</v>
      </c>
      <c r="H15">
        <v>3971</v>
      </c>
      <c r="I15" s="401"/>
      <c r="K15" s="388">
        <v>4124</v>
      </c>
      <c r="L15" s="274">
        <f t="shared" si="0"/>
        <v>0</v>
      </c>
    </row>
    <row r="16" spans="1:12" ht="12.75">
      <c r="A16" s="53" t="s">
        <v>226</v>
      </c>
      <c r="B16" s="54" t="s">
        <v>207</v>
      </c>
      <c r="C16" s="197">
        <f>GM_output!B19+GM_output!B21</f>
        <v>12892</v>
      </c>
      <c r="D16">
        <v>12115</v>
      </c>
      <c r="E16">
        <v>12874</v>
      </c>
      <c r="F16" s="33">
        <v>13679</v>
      </c>
      <c r="G16">
        <v>11756</v>
      </c>
      <c r="H16">
        <v>12511</v>
      </c>
      <c r="I16" s="401"/>
      <c r="K16" s="388">
        <v>12892</v>
      </c>
      <c r="L16" s="274">
        <f t="shared" si="0"/>
        <v>0</v>
      </c>
    </row>
    <row r="17" spans="1:12" ht="12.75">
      <c r="A17" s="53" t="s">
        <v>78</v>
      </c>
      <c r="B17" s="54" t="s">
        <v>208</v>
      </c>
      <c r="C17" s="197">
        <f>GM_output!C19+GM_output!C21</f>
        <v>5748</v>
      </c>
      <c r="D17">
        <v>5351</v>
      </c>
      <c r="E17">
        <v>5781</v>
      </c>
      <c r="F17" s="33">
        <v>7227</v>
      </c>
      <c r="G17">
        <v>4398</v>
      </c>
      <c r="H17">
        <v>5527</v>
      </c>
      <c r="I17" s="401"/>
      <c r="K17" s="388">
        <v>5748</v>
      </c>
      <c r="L17" s="274">
        <f t="shared" si="0"/>
        <v>0</v>
      </c>
    </row>
    <row r="18" spans="1:12" ht="12.75">
      <c r="A18" s="53"/>
      <c r="B18" s="54" t="s">
        <v>211</v>
      </c>
      <c r="C18" s="197">
        <f>GM_output!D19+GM_output!D21</f>
        <v>1030</v>
      </c>
      <c r="D18">
        <v>1347</v>
      </c>
      <c r="E18">
        <v>1202</v>
      </c>
      <c r="F18" s="33">
        <v>1372</v>
      </c>
      <c r="G18">
        <v>1040</v>
      </c>
      <c r="H18">
        <v>1055</v>
      </c>
      <c r="I18" s="401"/>
      <c r="K18" s="388">
        <v>1030</v>
      </c>
      <c r="L18" s="274">
        <f t="shared" si="0"/>
        <v>0</v>
      </c>
    </row>
    <row r="19" spans="1:12" ht="12.75">
      <c r="A19" t="s">
        <v>82</v>
      </c>
      <c r="B19" s="2" t="s">
        <v>207</v>
      </c>
      <c r="C19" s="198">
        <f>GM_output!B8+GM_output!B23</f>
        <v>345</v>
      </c>
      <c r="D19">
        <v>37</v>
      </c>
      <c r="E19">
        <v>39</v>
      </c>
      <c r="F19" s="33">
        <v>42</v>
      </c>
      <c r="G19">
        <v>43</v>
      </c>
      <c r="H19">
        <v>55</v>
      </c>
      <c r="I19" s="401"/>
      <c r="K19" s="388">
        <v>345</v>
      </c>
      <c r="L19" s="274">
        <f t="shared" si="0"/>
        <v>0</v>
      </c>
    </row>
    <row r="20" spans="1:12" ht="12.75">
      <c r="B20" s="2" t="s">
        <v>208</v>
      </c>
      <c r="C20" s="198">
        <f>GM_output!C8+GM_output!C23</f>
        <v>0</v>
      </c>
      <c r="D20">
        <v>0</v>
      </c>
      <c r="E20">
        <v>0</v>
      </c>
      <c r="F20" s="33">
        <v>0</v>
      </c>
      <c r="G20">
        <v>0</v>
      </c>
      <c r="H20">
        <v>0</v>
      </c>
      <c r="I20" s="401"/>
      <c r="K20" s="388">
        <v>0</v>
      </c>
      <c r="L20" s="274">
        <f t="shared" si="0"/>
        <v>0</v>
      </c>
    </row>
    <row r="21" spans="2:12" ht="12.75">
      <c r="B21" s="2" t="s">
        <v>211</v>
      </c>
      <c r="C21" s="198">
        <f>GM_output!D8+GM_output!D23</f>
        <v>78931</v>
      </c>
      <c r="D21">
        <v>85647</v>
      </c>
      <c r="E21">
        <v>89727</v>
      </c>
      <c r="F21" s="33">
        <v>78069</v>
      </c>
      <c r="G21">
        <v>78324</v>
      </c>
      <c r="H21">
        <v>79805</v>
      </c>
      <c r="I21" s="401"/>
      <c r="K21" s="388">
        <v>78931</v>
      </c>
      <c r="L21" s="274">
        <f t="shared" si="0"/>
        <v>0</v>
      </c>
    </row>
    <row r="22" spans="1:12" ht="12.75">
      <c r="A22" s="53" t="s">
        <v>83</v>
      </c>
      <c r="B22" s="54" t="s">
        <v>207</v>
      </c>
      <c r="C22" s="197">
        <f>GM_output!B7</f>
        <v>0</v>
      </c>
      <c r="D22">
        <v>0</v>
      </c>
      <c r="E22">
        <v>0</v>
      </c>
      <c r="F22" s="33">
        <v>0</v>
      </c>
      <c r="G22">
        <v>0</v>
      </c>
      <c r="H22">
        <v>0</v>
      </c>
      <c r="I22" s="401"/>
      <c r="K22" s="388">
        <v>0</v>
      </c>
      <c r="L22" s="274">
        <f t="shared" si="0"/>
        <v>0</v>
      </c>
    </row>
    <row r="23" spans="1:12" ht="12.75">
      <c r="A23" s="53" t="s">
        <v>78</v>
      </c>
      <c r="B23" s="54" t="s">
        <v>208</v>
      </c>
      <c r="C23" s="197">
        <f>GM_output!C7</f>
        <v>0</v>
      </c>
      <c r="D23">
        <v>0</v>
      </c>
      <c r="E23">
        <v>0</v>
      </c>
      <c r="F23" s="33">
        <v>0</v>
      </c>
      <c r="G23">
        <v>0</v>
      </c>
      <c r="H23">
        <v>0</v>
      </c>
      <c r="I23" s="401"/>
      <c r="K23" s="388">
        <v>0</v>
      </c>
      <c r="L23" s="274">
        <f t="shared" si="0"/>
        <v>0</v>
      </c>
    </row>
    <row r="24" spans="1:12" ht="12.75">
      <c r="A24" s="53"/>
      <c r="B24" s="54" t="s">
        <v>211</v>
      </c>
      <c r="C24" s="197">
        <f>GM_output!D7</f>
        <v>1288</v>
      </c>
      <c r="D24">
        <v>1391</v>
      </c>
      <c r="E24">
        <v>1479</v>
      </c>
      <c r="F24" s="33">
        <v>1481</v>
      </c>
      <c r="G24">
        <v>1422</v>
      </c>
      <c r="H24">
        <v>1351</v>
      </c>
      <c r="I24" s="401"/>
      <c r="K24" s="388">
        <v>1288</v>
      </c>
      <c r="L24" s="274">
        <f t="shared" si="0"/>
        <v>0</v>
      </c>
    </row>
    <row r="25" spans="1:12" ht="12.75">
      <c r="A25" t="s">
        <v>84</v>
      </c>
      <c r="B25" s="2" t="s">
        <v>207</v>
      </c>
      <c r="C25" s="198">
        <f>GM_output!B16+GM_output!B20</f>
        <v>0</v>
      </c>
      <c r="D25">
        <v>0</v>
      </c>
      <c r="E25">
        <v>0</v>
      </c>
      <c r="F25" s="33">
        <v>0</v>
      </c>
      <c r="G25">
        <v>0</v>
      </c>
      <c r="H25">
        <v>0</v>
      </c>
      <c r="I25" s="401"/>
      <c r="K25" s="388">
        <v>0</v>
      </c>
      <c r="L25" s="274">
        <f t="shared" si="0"/>
        <v>0</v>
      </c>
    </row>
    <row r="26" spans="1:12" ht="12.75">
      <c r="B26" s="2" t="s">
        <v>208</v>
      </c>
      <c r="C26" s="198">
        <f>GM_output!C16+GM_output!C20</f>
        <v>0</v>
      </c>
      <c r="D26">
        <v>0</v>
      </c>
      <c r="E26">
        <v>0</v>
      </c>
      <c r="F26" s="33">
        <v>0</v>
      </c>
      <c r="G26">
        <v>0</v>
      </c>
      <c r="H26">
        <v>0</v>
      </c>
      <c r="I26" s="401"/>
      <c r="K26" s="388">
        <v>0</v>
      </c>
      <c r="L26" s="274">
        <f t="shared" si="0"/>
        <v>0</v>
      </c>
    </row>
    <row r="27" spans="2:12" ht="12.75">
      <c r="B27" s="2" t="s">
        <v>211</v>
      </c>
      <c r="C27" s="198">
        <f>GM_output!D16+GM_output!D20</f>
        <v>9006</v>
      </c>
      <c r="D27">
        <v>7815</v>
      </c>
      <c r="E27">
        <v>8221</v>
      </c>
      <c r="F27" s="33">
        <v>6596</v>
      </c>
      <c r="G27">
        <v>7746</v>
      </c>
      <c r="H27">
        <v>9354</v>
      </c>
      <c r="I27" s="401"/>
      <c r="K27" s="388">
        <v>9006</v>
      </c>
      <c r="L27" s="274">
        <f t="shared" si="0"/>
        <v>0</v>
      </c>
    </row>
    <row r="28" spans="1:12" ht="12.75">
      <c r="A28" s="53" t="s">
        <v>85</v>
      </c>
      <c r="B28" s="54" t="s">
        <v>207</v>
      </c>
      <c r="C28" s="197">
        <f>GM_output!B14+GM_output!B25</f>
        <v>0</v>
      </c>
      <c r="D28">
        <v>0</v>
      </c>
      <c r="E28">
        <v>0</v>
      </c>
      <c r="F28">
        <v>0</v>
      </c>
      <c r="G28">
        <v>0</v>
      </c>
      <c r="H28">
        <v>0</v>
      </c>
      <c r="I28" s="401"/>
      <c r="K28" s="388">
        <v>0</v>
      </c>
      <c r="L28" s="274">
        <f t="shared" si="0"/>
        <v>0</v>
      </c>
    </row>
    <row r="29" spans="1:12" ht="12.75">
      <c r="A29" s="53" t="s">
        <v>78</v>
      </c>
      <c r="B29" s="54" t="s">
        <v>208</v>
      </c>
      <c r="C29" s="197">
        <f>GM_output!C14+GM_output!C25</f>
        <v>0</v>
      </c>
      <c r="D29">
        <v>0</v>
      </c>
      <c r="E29">
        <v>0</v>
      </c>
      <c r="F29">
        <v>0</v>
      </c>
      <c r="G29">
        <v>0</v>
      </c>
      <c r="H29">
        <v>0</v>
      </c>
      <c r="I29" s="401"/>
      <c r="K29" s="388">
        <v>0</v>
      </c>
      <c r="L29" s="274">
        <f t="shared" si="0"/>
        <v>0</v>
      </c>
    </row>
    <row r="30" spans="1:12" ht="12.75">
      <c r="A30" s="53"/>
      <c r="B30" s="54" t="s">
        <v>211</v>
      </c>
      <c r="C30" s="197">
        <f>GM_output!D14+GM_output!D25</f>
        <v>19469</v>
      </c>
      <c r="D30">
        <v>21139</v>
      </c>
      <c r="E30">
        <v>21296</v>
      </c>
      <c r="F30">
        <v>20414</v>
      </c>
      <c r="G30">
        <v>19890</v>
      </c>
      <c r="H30">
        <v>20113</v>
      </c>
      <c r="I30" s="401"/>
      <c r="K30" s="388">
        <v>19469</v>
      </c>
      <c r="L30" s="274">
        <f t="shared" si="0"/>
        <v>0</v>
      </c>
    </row>
    <row r="31" spans="1:12" ht="12.75">
      <c r="A31" t="s">
        <v>86</v>
      </c>
      <c r="B31" s="2" t="s">
        <v>207</v>
      </c>
      <c r="C31" s="198">
        <f>GM_output!B5</f>
        <v>0</v>
      </c>
      <c r="D31">
        <v>0</v>
      </c>
      <c r="E31">
        <v>0</v>
      </c>
      <c r="F31" s="33">
        <v>0</v>
      </c>
      <c r="G31">
        <v>0</v>
      </c>
      <c r="H31">
        <v>0</v>
      </c>
      <c r="I31" s="401"/>
      <c r="K31" s="388">
        <v>0</v>
      </c>
      <c r="L31" s="274">
        <f t="shared" si="0"/>
        <v>0</v>
      </c>
    </row>
    <row r="32" spans="1:12" ht="12.75">
      <c r="B32" s="2" t="s">
        <v>208</v>
      </c>
      <c r="C32" s="198">
        <f>GM_output!C5</f>
        <v>6768</v>
      </c>
      <c r="D32">
        <v>274</v>
      </c>
      <c r="E32">
        <v>205</v>
      </c>
      <c r="F32" s="33">
        <v>1519</v>
      </c>
      <c r="G32">
        <v>3028</v>
      </c>
      <c r="H32">
        <v>5199</v>
      </c>
      <c r="I32" s="401"/>
      <c r="K32" s="388">
        <v>6768</v>
      </c>
      <c r="L32" s="274">
        <f t="shared" si="0"/>
        <v>0</v>
      </c>
    </row>
    <row r="33" spans="2:12" ht="12.75">
      <c r="B33" s="2" t="s">
        <v>211</v>
      </c>
      <c r="C33" s="198">
        <f>GM_output!D5</f>
        <v>5892</v>
      </c>
      <c r="D33">
        <v>777</v>
      </c>
      <c r="E33">
        <v>1278</v>
      </c>
      <c r="F33" s="33">
        <v>2684</v>
      </c>
      <c r="G33">
        <v>3517</v>
      </c>
      <c r="H33">
        <v>4862</v>
      </c>
      <c r="I33" s="401"/>
      <c r="K33" s="388">
        <v>5892</v>
      </c>
      <c r="L33" s="274">
        <f t="shared" si="0"/>
        <v>0</v>
      </c>
    </row>
    <row r="34" spans="1:12" ht="12.75">
      <c r="A34" s="53" t="s">
        <v>87</v>
      </c>
      <c r="B34" s="54" t="s">
        <v>207</v>
      </c>
      <c r="C34" s="197">
        <f>GM_output!B18</f>
        <v>0</v>
      </c>
      <c r="D34">
        <v>0</v>
      </c>
      <c r="E34">
        <v>0</v>
      </c>
      <c r="F34" s="33">
        <v>0</v>
      </c>
      <c r="G34">
        <v>0</v>
      </c>
      <c r="H34">
        <v>0</v>
      </c>
      <c r="I34" s="401"/>
      <c r="K34" s="388">
        <v>0</v>
      </c>
      <c r="L34" s="274">
        <f t="shared" si="0"/>
        <v>0</v>
      </c>
    </row>
    <row r="35" spans="1:12" ht="12.75">
      <c r="A35" s="53" t="s">
        <v>78</v>
      </c>
      <c r="B35" s="54" t="s">
        <v>208</v>
      </c>
      <c r="C35" s="197">
        <f>GM_output!C18</f>
        <v>2155</v>
      </c>
      <c r="D35">
        <v>-274</v>
      </c>
      <c r="E35">
        <v>-205</v>
      </c>
      <c r="F35" s="33">
        <v>-1462</v>
      </c>
      <c r="G35">
        <v>-1910</v>
      </c>
      <c r="H35">
        <v>-11</v>
      </c>
      <c r="I35" s="401"/>
      <c r="K35" s="388">
        <v>2155</v>
      </c>
      <c r="L35" s="274">
        <f t="shared" si="0"/>
        <v>0</v>
      </c>
    </row>
    <row r="36" spans="1:12" ht="12.75">
      <c r="A36" s="53"/>
      <c r="B36" s="54" t="s">
        <v>211</v>
      </c>
      <c r="C36" s="197">
        <f>GM_output!D18</f>
        <v>2991</v>
      </c>
      <c r="D36">
        <v>500</v>
      </c>
      <c r="E36">
        <v>556</v>
      </c>
      <c r="F36" s="33">
        <v>702</v>
      </c>
      <c r="G36">
        <v>1028</v>
      </c>
      <c r="H36">
        <v>1681</v>
      </c>
      <c r="I36" s="401"/>
      <c r="K36" s="388">
        <v>2991</v>
      </c>
      <c r="L36" s="274">
        <f t="shared" si="0"/>
        <v>0</v>
      </c>
    </row>
    <row r="37" spans="1:12" ht="12.75">
      <c r="A37" t="s">
        <v>88</v>
      </c>
      <c r="B37" s="2" t="s">
        <v>207</v>
      </c>
      <c r="C37" s="198">
        <f>GM_output!B15+GM_output!B22</f>
        <v>0</v>
      </c>
      <c r="D37">
        <v>0</v>
      </c>
      <c r="E37">
        <v>0</v>
      </c>
      <c r="F37" s="33">
        <v>0</v>
      </c>
      <c r="G37">
        <v>0</v>
      </c>
      <c r="H37">
        <v>0</v>
      </c>
      <c r="I37" s="401"/>
      <c r="K37" s="388">
        <v>0</v>
      </c>
      <c r="L37" s="274">
        <f t="shared" si="0"/>
        <v>0</v>
      </c>
    </row>
    <row r="38" spans="1:12" ht="12.75">
      <c r="B38" s="2" t="s">
        <v>208</v>
      </c>
      <c r="C38" s="198">
        <f>GM_output!C15+GM_output!C22</f>
        <v>9639</v>
      </c>
      <c r="D38">
        <v>1679</v>
      </c>
      <c r="E38">
        <v>1824</v>
      </c>
      <c r="F38" s="33">
        <v>5265</v>
      </c>
      <c r="G38">
        <v>5510</v>
      </c>
      <c r="H38">
        <v>5800</v>
      </c>
      <c r="I38" s="401"/>
      <c r="K38" s="388">
        <v>9639</v>
      </c>
      <c r="L38" s="274">
        <f t="shared" si="0"/>
        <v>0</v>
      </c>
    </row>
    <row r="39" spans="2:12" ht="12.75">
      <c r="B39" s="2" t="s">
        <v>211</v>
      </c>
      <c r="C39" s="198">
        <f>GM_output!D15+GM_output!D22</f>
        <v>25</v>
      </c>
      <c r="D39">
        <v>0</v>
      </c>
      <c r="E39">
        <v>0</v>
      </c>
      <c r="F39" s="33">
        <v>0</v>
      </c>
      <c r="G39">
        <v>0</v>
      </c>
      <c r="H39">
        <v>0</v>
      </c>
      <c r="I39" s="401"/>
      <c r="K39" s="388">
        <v>25</v>
      </c>
      <c r="L39" s="274">
        <f t="shared" si="0"/>
        <v>0</v>
      </c>
    </row>
    <row r="40" spans="1:12" ht="12.75">
      <c r="A40" s="53" t="s">
        <v>89</v>
      </c>
      <c r="B40" s="54" t="s">
        <v>207</v>
      </c>
      <c r="C40" s="197">
        <f>GM_output!B29</f>
        <v>-2179</v>
      </c>
      <c r="D40">
        <v>132</v>
      </c>
      <c r="E40">
        <v>-1269</v>
      </c>
      <c r="F40" s="33">
        <v>-1967</v>
      </c>
      <c r="G40">
        <v>-3009</v>
      </c>
      <c r="H40">
        <v>-2033</v>
      </c>
      <c r="I40" s="401"/>
      <c r="K40" s="388">
        <v>-2179</v>
      </c>
      <c r="L40" s="274">
        <f t="shared" si="0"/>
        <v>0</v>
      </c>
    </row>
    <row r="41" spans="1:12" ht="12.75">
      <c r="A41" s="63" t="s">
        <v>78</v>
      </c>
      <c r="B41" s="64" t="s">
        <v>208</v>
      </c>
      <c r="C41" s="197">
        <f>GM_output!C29</f>
        <v>389</v>
      </c>
      <c r="D41">
        <v>110</v>
      </c>
      <c r="E41">
        <v>399</v>
      </c>
      <c r="F41" s="33">
        <v>173</v>
      </c>
      <c r="G41">
        <v>205</v>
      </c>
      <c r="H41">
        <v>495</v>
      </c>
      <c r="I41" s="401"/>
      <c r="K41" s="388">
        <v>389</v>
      </c>
      <c r="L41" s="274">
        <f t="shared" si="0"/>
        <v>0</v>
      </c>
    </row>
    <row r="42" spans="1:12" ht="12.75">
      <c r="A42" s="63"/>
      <c r="B42" s="64" t="s">
        <v>209</v>
      </c>
      <c r="C42" s="197">
        <f>GM_output!D30</f>
        <v>81392</v>
      </c>
      <c r="D42">
        <v>74323</v>
      </c>
      <c r="E42">
        <v>78183</v>
      </c>
      <c r="F42" s="33">
        <v>79822</v>
      </c>
      <c r="G42">
        <v>74355</v>
      </c>
      <c r="H42">
        <v>86542</v>
      </c>
      <c r="I42" s="401"/>
      <c r="K42" s="388">
        <v>81392</v>
      </c>
      <c r="L42" s="274">
        <f t="shared" si="0"/>
        <v>0</v>
      </c>
    </row>
    <row r="43" spans="1:12" ht="12.75">
      <c r="A43" s="63"/>
      <c r="B43" s="64" t="s">
        <v>210</v>
      </c>
      <c r="C43" s="197">
        <f>GM_output!D13</f>
        <v>1815</v>
      </c>
      <c r="D43">
        <v>2559</v>
      </c>
      <c r="E43">
        <v>2382</v>
      </c>
      <c r="F43" s="33">
        <v>2956</v>
      </c>
      <c r="G43">
        <v>2419</v>
      </c>
      <c r="H43">
        <v>2338</v>
      </c>
      <c r="I43" s="401"/>
      <c r="K43" s="388">
        <v>1815</v>
      </c>
      <c r="L43" s="274">
        <f t="shared" si="0"/>
        <v>0</v>
      </c>
    </row>
    <row r="44" spans="6:12" ht="12.75">
      <c r="F44" s="33"/>
      <c r="I44" s="401"/>
      <c r="K44" s="388"/>
      <c r="L44" s="274">
        <f t="shared" si="0"/>
        <v>0</v>
      </c>
    </row>
    <row r="45" spans="1:12" ht="12.75">
      <c r="A45" s="5" t="s">
        <v>92</v>
      </c>
      <c r="B45" s="14"/>
      <c r="C45" s="14"/>
      <c r="F45" s="33"/>
      <c r="I45" s="401"/>
      <c r="K45" s="388"/>
      <c r="L45" s="274">
        <f t="shared" si="0"/>
        <v>0</v>
      </c>
    </row>
    <row r="46" spans="1:12" ht="12.75">
      <c r="A46" s="53" t="s">
        <v>77</v>
      </c>
      <c r="B46" s="54" t="s">
        <v>173</v>
      </c>
      <c r="C46" s="197">
        <f>GM_output!E9</f>
        <v>0</v>
      </c>
      <c r="D46">
        <v>0</v>
      </c>
      <c r="E46">
        <v>0</v>
      </c>
      <c r="F46" s="33">
        <v>0</v>
      </c>
      <c r="G46">
        <v>0</v>
      </c>
      <c r="H46">
        <v>0</v>
      </c>
      <c r="I46" s="401"/>
      <c r="K46" s="388">
        <v>0</v>
      </c>
      <c r="L46" s="274">
        <f t="shared" si="0"/>
        <v>0</v>
      </c>
    </row>
    <row r="47" spans="1:12" ht="12.75">
      <c r="A47" t="s">
        <v>79</v>
      </c>
      <c r="B47" s="2" t="s">
        <v>173</v>
      </c>
      <c r="C47" s="198">
        <f>GM_output!E4</f>
        <v>0</v>
      </c>
      <c r="D47">
        <v>0</v>
      </c>
      <c r="E47">
        <v>0</v>
      </c>
      <c r="F47" s="33">
        <v>0</v>
      </c>
      <c r="G47">
        <v>0</v>
      </c>
      <c r="H47">
        <v>0</v>
      </c>
      <c r="I47" s="401"/>
      <c r="K47" s="388">
        <v>0</v>
      </c>
      <c r="L47" s="274">
        <f t="shared" si="0"/>
        <v>0</v>
      </c>
    </row>
    <row r="48" spans="1:12" ht="12.75">
      <c r="A48" s="53" t="s">
        <v>80</v>
      </c>
      <c r="B48" s="54" t="s">
        <v>173</v>
      </c>
      <c r="C48" s="197">
        <f>GM_output!E6</f>
        <v>0</v>
      </c>
      <c r="D48">
        <v>0</v>
      </c>
      <c r="E48">
        <v>0</v>
      </c>
      <c r="F48" s="33">
        <v>0</v>
      </c>
      <c r="G48">
        <v>0</v>
      </c>
      <c r="H48">
        <v>0</v>
      </c>
      <c r="I48" s="401"/>
      <c r="K48" s="388">
        <v>0</v>
      </c>
      <c r="L48" s="274">
        <f t="shared" si="0"/>
        <v>0</v>
      </c>
    </row>
    <row r="49" spans="1:12" ht="12.75">
      <c r="A49" t="s">
        <v>81</v>
      </c>
      <c r="B49" s="2" t="s">
        <v>173</v>
      </c>
      <c r="C49" s="198">
        <f>GM_output!E17</f>
        <v>0</v>
      </c>
      <c r="D49">
        <v>0</v>
      </c>
      <c r="E49">
        <v>0</v>
      </c>
      <c r="F49" s="33">
        <v>0</v>
      </c>
      <c r="G49">
        <v>0</v>
      </c>
      <c r="H49">
        <v>0</v>
      </c>
      <c r="I49" s="401"/>
      <c r="K49" s="388">
        <v>0</v>
      </c>
      <c r="L49" s="274">
        <f t="shared" si="0"/>
        <v>0</v>
      </c>
    </row>
    <row r="50" spans="1:12" ht="12.75">
      <c r="A50" s="53" t="s">
        <v>226</v>
      </c>
      <c r="B50" s="54" t="s">
        <v>173</v>
      </c>
      <c r="C50" s="197">
        <f>GM_output!E19+GM_output!E21</f>
        <v>0</v>
      </c>
      <c r="D50">
        <v>0</v>
      </c>
      <c r="E50">
        <v>0</v>
      </c>
      <c r="F50" s="33">
        <v>0</v>
      </c>
      <c r="G50">
        <v>0</v>
      </c>
      <c r="H50">
        <v>0</v>
      </c>
      <c r="I50" s="401"/>
      <c r="K50" s="388">
        <v>0</v>
      </c>
      <c r="L50" s="274">
        <f t="shared" si="0"/>
        <v>0</v>
      </c>
    </row>
    <row r="51" spans="1:12" ht="12.75">
      <c r="A51" t="s">
        <v>82</v>
      </c>
      <c r="B51" s="2" t="s">
        <v>173</v>
      </c>
      <c r="C51" s="198">
        <f>GM_output!E8+GM_output!E23</f>
        <v>0</v>
      </c>
      <c r="D51">
        <v>0</v>
      </c>
      <c r="E51">
        <v>0</v>
      </c>
      <c r="F51" s="33">
        <v>0</v>
      </c>
      <c r="G51">
        <v>0</v>
      </c>
      <c r="H51">
        <v>0</v>
      </c>
      <c r="I51" s="401"/>
      <c r="K51" s="388">
        <v>0</v>
      </c>
      <c r="L51" s="274">
        <f t="shared" si="0"/>
        <v>0</v>
      </c>
    </row>
    <row r="52" spans="1:12" ht="12.75">
      <c r="A52" s="53" t="s">
        <v>83</v>
      </c>
      <c r="B52" s="54" t="s">
        <v>173</v>
      </c>
      <c r="C52" s="197">
        <f>GM_output!E7</f>
        <v>0</v>
      </c>
      <c r="D52">
        <v>0</v>
      </c>
      <c r="E52">
        <v>0</v>
      </c>
      <c r="F52" s="33">
        <v>0</v>
      </c>
      <c r="G52">
        <v>0</v>
      </c>
      <c r="H52">
        <v>0</v>
      </c>
      <c r="I52" s="401"/>
      <c r="K52" s="388">
        <v>0</v>
      </c>
      <c r="L52" s="274">
        <f t="shared" si="0"/>
        <v>0</v>
      </c>
    </row>
    <row r="53" spans="1:12" ht="12.75">
      <c r="A53" t="s">
        <v>84</v>
      </c>
      <c r="B53" s="2" t="s">
        <v>173</v>
      </c>
      <c r="C53" s="198">
        <f>GM_output!E16+GM_output!E20</f>
        <v>42</v>
      </c>
      <c r="D53">
        <v>20</v>
      </c>
      <c r="E53">
        <v>25</v>
      </c>
      <c r="F53" s="33">
        <v>35</v>
      </c>
      <c r="G53">
        <v>25</v>
      </c>
      <c r="H53">
        <v>43</v>
      </c>
      <c r="I53" s="401"/>
      <c r="K53" s="388">
        <v>42</v>
      </c>
      <c r="L53" s="274">
        <f t="shared" si="0"/>
        <v>0</v>
      </c>
    </row>
    <row r="54" spans="1:12" ht="12.75">
      <c r="A54" s="53" t="s">
        <v>85</v>
      </c>
      <c r="B54" s="54" t="s">
        <v>173</v>
      </c>
      <c r="C54" s="197">
        <f>GM_output!E14+GM_output!E25</f>
        <v>10381</v>
      </c>
      <c r="D54">
        <v>9423</v>
      </c>
      <c r="E54">
        <v>9522</v>
      </c>
      <c r="F54">
        <v>9633</v>
      </c>
      <c r="G54">
        <v>9398</v>
      </c>
      <c r="H54">
        <v>10554</v>
      </c>
      <c r="I54" s="401"/>
      <c r="K54" s="388">
        <v>10381</v>
      </c>
      <c r="L54" s="274">
        <f t="shared" si="0"/>
        <v>0</v>
      </c>
    </row>
    <row r="55" spans="1:12" ht="12.75">
      <c r="A55" t="s">
        <v>86</v>
      </c>
      <c r="B55" s="2" t="s">
        <v>173</v>
      </c>
      <c r="C55" s="198">
        <f>GM_output!E5</f>
        <v>0</v>
      </c>
      <c r="D55">
        <v>0</v>
      </c>
      <c r="E55">
        <v>0</v>
      </c>
      <c r="F55" s="33">
        <v>0</v>
      </c>
      <c r="G55">
        <v>0</v>
      </c>
      <c r="H55">
        <v>0</v>
      </c>
      <c r="I55" s="401"/>
      <c r="K55" s="388">
        <v>0</v>
      </c>
      <c r="L55" s="274">
        <f t="shared" si="0"/>
        <v>0</v>
      </c>
    </row>
    <row r="56" spans="1:12" ht="12.75">
      <c r="A56" s="53" t="s">
        <v>87</v>
      </c>
      <c r="B56" s="54" t="s">
        <v>173</v>
      </c>
      <c r="C56" s="197">
        <f>GM_output!E18</f>
        <v>0</v>
      </c>
      <c r="D56">
        <v>0</v>
      </c>
      <c r="E56">
        <v>0</v>
      </c>
      <c r="F56" s="33">
        <v>0</v>
      </c>
      <c r="G56">
        <v>0</v>
      </c>
      <c r="H56">
        <v>0</v>
      </c>
      <c r="I56" s="401"/>
      <c r="K56" s="388">
        <v>0</v>
      </c>
      <c r="L56" s="274">
        <f t="shared" si="0"/>
        <v>0</v>
      </c>
    </row>
    <row r="57" spans="1:12" ht="12.75">
      <c r="A57" t="s">
        <v>88</v>
      </c>
      <c r="B57" s="16" t="s">
        <v>173</v>
      </c>
      <c r="C57" s="198">
        <f>GM_output!E15+GM_output!E22</f>
        <v>0</v>
      </c>
      <c r="D57">
        <v>0</v>
      </c>
      <c r="E57">
        <v>0</v>
      </c>
      <c r="F57" s="33">
        <v>0</v>
      </c>
      <c r="G57">
        <v>0</v>
      </c>
      <c r="H57">
        <v>0</v>
      </c>
      <c r="I57" s="401"/>
      <c r="K57" s="388">
        <v>0</v>
      </c>
      <c r="L57" s="274">
        <f t="shared" si="0"/>
        <v>0</v>
      </c>
    </row>
    <row r="58" spans="1:12" ht="12.75">
      <c r="A58" s="53" t="s">
        <v>89</v>
      </c>
      <c r="B58" s="54" t="s">
        <v>272</v>
      </c>
      <c r="C58" s="197">
        <f>GM_output!E30</f>
        <v>15402</v>
      </c>
      <c r="D58">
        <v>337</v>
      </c>
      <c r="E58">
        <v>834</v>
      </c>
      <c r="F58">
        <v>2280</v>
      </c>
      <c r="G58">
        <v>2791</v>
      </c>
      <c r="H58">
        <v>11336</v>
      </c>
      <c r="I58" s="401"/>
      <c r="K58" s="388">
        <v>15402</v>
      </c>
      <c r="L58" s="274">
        <f t="shared" si="0"/>
        <v>0</v>
      </c>
    </row>
    <row r="59" spans="1:12" ht="12.75">
      <c r="A59" s="53"/>
      <c r="B59" s="54" t="s">
        <v>273</v>
      </c>
      <c r="C59" s="197">
        <f>GM_output!E13</f>
        <v>0</v>
      </c>
      <c r="D59">
        <v>0</v>
      </c>
      <c r="E59">
        <v>0</v>
      </c>
      <c r="F59" s="33">
        <v>0</v>
      </c>
      <c r="G59">
        <v>0</v>
      </c>
      <c r="H59">
        <v>0</v>
      </c>
      <c r="I59" s="401"/>
      <c r="K59" s="388">
        <v>0</v>
      </c>
      <c r="L59" s="274">
        <f t="shared" si="0"/>
        <v>0</v>
      </c>
    </row>
    <row r="60" spans="2:12" ht="12.75">
      <c r="B60" s="9" t="s">
        <v>4</v>
      </c>
      <c r="C60" s="198">
        <f>SUM(C46:C59)</f>
        <v>25825</v>
      </c>
      <c r="D60">
        <v>9780</v>
      </c>
      <c r="E60">
        <v>10381</v>
      </c>
      <c r="F60" s="33">
        <f>SUM(F46:F59)</f>
        <v>11948</v>
      </c>
      <c r="G60">
        <v>12214</v>
      </c>
      <c r="H60">
        <v>21933</v>
      </c>
      <c r="I60" s="401"/>
      <c r="K60" s="388">
        <v>25825</v>
      </c>
      <c r="L60" s="274">
        <f t="shared" si="0"/>
        <v>0</v>
      </c>
    </row>
    <row r="61" spans="1:12" ht="12.75">
      <c r="A61" s="5" t="s">
        <v>93</v>
      </c>
      <c r="B61" s="14" t="s">
        <v>78</v>
      </c>
      <c r="C61" s="14"/>
      <c r="F61" s="33"/>
      <c r="I61" s="401"/>
      <c r="K61" s="389"/>
      <c r="L61" s="274">
        <f t="shared" si="0"/>
        <v>0</v>
      </c>
    </row>
    <row r="62" spans="1:12" ht="12.75">
      <c r="A62" s="53" t="s">
        <v>77</v>
      </c>
      <c r="B62" s="100" t="s">
        <v>439</v>
      </c>
      <c r="C62" s="100">
        <v>590</v>
      </c>
      <c r="D62">
        <v>2410</v>
      </c>
      <c r="E62">
        <v>2888.7</v>
      </c>
      <c r="F62" s="33">
        <v>2790</v>
      </c>
      <c r="G62">
        <v>2496</v>
      </c>
      <c r="H62">
        <v>2449</v>
      </c>
      <c r="I62" s="401"/>
      <c r="J62" s="398" t="s">
        <v>620</v>
      </c>
      <c r="K62" s="389">
        <v>590</v>
      </c>
      <c r="L62" s="274">
        <f t="shared" si="0"/>
        <v>0</v>
      </c>
    </row>
    <row r="63" spans="1:12" ht="12.75">
      <c r="A63" s="53"/>
      <c r="B63" s="100" t="s">
        <v>227</v>
      </c>
      <c r="C63" s="100">
        <v>0</v>
      </c>
      <c r="D63">
        <v>0</v>
      </c>
      <c r="E63">
        <v>0</v>
      </c>
      <c r="F63" s="33">
        <v>0</v>
      </c>
      <c r="G63">
        <v>0</v>
      </c>
      <c r="H63">
        <v>0</v>
      </c>
      <c r="I63" s="401"/>
      <c r="K63" s="389">
        <v>0</v>
      </c>
      <c r="L63" s="274">
        <f t="shared" si="0"/>
        <v>0</v>
      </c>
    </row>
    <row r="64" spans="1:12" ht="12.75">
      <c r="A64" s="53"/>
      <c r="B64" s="100" t="s">
        <v>186</v>
      </c>
      <c r="C64" s="100">
        <v>0</v>
      </c>
      <c r="D64">
        <v>0</v>
      </c>
      <c r="E64">
        <v>0</v>
      </c>
      <c r="F64" s="33">
        <v>0</v>
      </c>
      <c r="G64">
        <v>0</v>
      </c>
      <c r="H64">
        <v>0</v>
      </c>
      <c r="I64" s="401"/>
      <c r="K64" s="389">
        <v>0</v>
      </c>
      <c r="L64" s="274">
        <f t="shared" si="0"/>
        <v>0</v>
      </c>
    </row>
    <row r="65" spans="1:12" ht="12.75">
      <c r="A65" t="s">
        <v>79</v>
      </c>
      <c r="B65" s="101" t="s">
        <v>439</v>
      </c>
      <c r="C65" s="101">
        <v>0</v>
      </c>
      <c r="D65">
        <v>0</v>
      </c>
      <c r="E65">
        <v>0</v>
      </c>
      <c r="F65" s="33">
        <v>0</v>
      </c>
      <c r="G65">
        <v>0</v>
      </c>
      <c r="H65">
        <v>0</v>
      </c>
      <c r="I65" s="401"/>
      <c r="K65" s="389">
        <v>0</v>
      </c>
      <c r="L65" s="274">
        <f t="shared" si="0"/>
        <v>0</v>
      </c>
    </row>
    <row r="66" spans="2:12" ht="12.75">
      <c r="B66" s="101" t="s">
        <v>227</v>
      </c>
      <c r="C66" s="101">
        <v>0</v>
      </c>
      <c r="D66">
        <v>0</v>
      </c>
      <c r="E66">
        <v>0</v>
      </c>
      <c r="F66" s="33">
        <v>0</v>
      </c>
      <c r="G66">
        <v>0</v>
      </c>
      <c r="H66">
        <v>0</v>
      </c>
      <c r="I66" s="401"/>
      <c r="K66" s="389">
        <v>0</v>
      </c>
      <c r="L66" s="274">
        <f t="shared" si="0"/>
        <v>0</v>
      </c>
    </row>
    <row r="67" spans="1:12" ht="12.75">
      <c r="B67" s="101" t="s">
        <v>186</v>
      </c>
      <c r="C67" s="101">
        <v>0</v>
      </c>
      <c r="D67">
        <v>0</v>
      </c>
      <c r="E67">
        <v>0</v>
      </c>
      <c r="F67" s="33">
        <v>0</v>
      </c>
      <c r="G67">
        <v>0</v>
      </c>
      <c r="H67">
        <v>0</v>
      </c>
      <c r="I67" s="401"/>
      <c r="K67" s="389">
        <v>0</v>
      </c>
      <c r="L67" s="274">
        <f t="shared" si="0"/>
        <v>0</v>
      </c>
    </row>
    <row r="68" spans="1:12" ht="12.75">
      <c r="B68" s="101" t="s">
        <v>229</v>
      </c>
      <c r="C68" s="101">
        <v>0</v>
      </c>
      <c r="D68">
        <v>0</v>
      </c>
      <c r="E68">
        <v>0</v>
      </c>
      <c r="F68" s="33">
        <v>0</v>
      </c>
      <c r="G68">
        <v>0</v>
      </c>
      <c r="H68">
        <v>0</v>
      </c>
      <c r="I68" s="401"/>
      <c r="K68" s="389">
        <v>0</v>
      </c>
      <c r="L68" s="274">
        <f t="shared" si="0"/>
        <v>0</v>
      </c>
    </row>
    <row r="69" spans="2:12" ht="12.75">
      <c r="B69" s="357" t="s">
        <v>230</v>
      </c>
      <c r="C69" s="101">
        <v>0</v>
      </c>
      <c r="D69">
        <v>0</v>
      </c>
      <c r="E69">
        <v>0</v>
      </c>
      <c r="F69" s="33">
        <v>0</v>
      </c>
      <c r="G69">
        <v>0</v>
      </c>
      <c r="H69">
        <v>0</v>
      </c>
      <c r="I69" s="401"/>
      <c r="K69" s="389">
        <v>0</v>
      </c>
      <c r="L69" s="274">
        <f aca="true" t="shared" si="1" ref="L69:L132">K69-C69</f>
        <v>0</v>
      </c>
    </row>
    <row r="70" spans="1:12" ht="12.75">
      <c r="B70" s="357" t="s">
        <v>188</v>
      </c>
      <c r="C70" s="101">
        <v>0</v>
      </c>
      <c r="D70">
        <v>0</v>
      </c>
      <c r="E70">
        <v>0</v>
      </c>
      <c r="F70" s="33">
        <v>0</v>
      </c>
      <c r="G70">
        <v>0</v>
      </c>
      <c r="H70">
        <v>0</v>
      </c>
      <c r="I70" s="401"/>
      <c r="K70" s="389">
        <v>0</v>
      </c>
      <c r="L70" s="274">
        <f t="shared" si="1"/>
        <v>0</v>
      </c>
    </row>
    <row r="71" spans="2:12" ht="12.75">
      <c r="B71" s="101" t="s">
        <v>228</v>
      </c>
      <c r="C71" s="101">
        <v>0</v>
      </c>
      <c r="D71">
        <v>0</v>
      </c>
      <c r="E71">
        <v>0</v>
      </c>
      <c r="F71" s="33">
        <v>0</v>
      </c>
      <c r="G71">
        <v>0</v>
      </c>
      <c r="H71">
        <v>0</v>
      </c>
      <c r="I71" s="401"/>
      <c r="K71" s="389">
        <v>0</v>
      </c>
      <c r="L71" s="274">
        <f t="shared" si="1"/>
        <v>0</v>
      </c>
    </row>
    <row r="72" spans="1:12" ht="12.75">
      <c r="B72" s="101" t="s">
        <v>440</v>
      </c>
      <c r="C72" s="101">
        <v>0</v>
      </c>
      <c r="D72">
        <v>0</v>
      </c>
      <c r="E72">
        <v>0</v>
      </c>
      <c r="F72" s="33">
        <v>0</v>
      </c>
      <c r="G72">
        <v>0</v>
      </c>
      <c r="H72">
        <v>0</v>
      </c>
      <c r="I72" s="401"/>
      <c r="K72" s="389">
        <v>0</v>
      </c>
      <c r="L72" s="274">
        <f t="shared" si="1"/>
        <v>0</v>
      </c>
    </row>
    <row r="73" spans="1:12" ht="12.75">
      <c r="B73" s="101" t="s">
        <v>187</v>
      </c>
      <c r="C73" s="101">
        <v>0</v>
      </c>
      <c r="D73">
        <v>0</v>
      </c>
      <c r="E73">
        <v>0</v>
      </c>
      <c r="F73" s="33">
        <v>0</v>
      </c>
      <c r="G73">
        <v>0</v>
      </c>
      <c r="H73">
        <v>0</v>
      </c>
      <c r="I73" s="401"/>
      <c r="K73" s="389">
        <v>0</v>
      </c>
      <c r="L73" s="274">
        <f t="shared" si="1"/>
        <v>0</v>
      </c>
    </row>
    <row r="74" spans="1:12" ht="12.75">
      <c r="A74" s="53" t="s">
        <v>80</v>
      </c>
      <c r="B74" s="100" t="s">
        <v>439</v>
      </c>
      <c r="C74" s="100">
        <v>0</v>
      </c>
      <c r="D74">
        <v>0</v>
      </c>
      <c r="E74">
        <v>0</v>
      </c>
      <c r="F74" s="33">
        <v>0</v>
      </c>
      <c r="G74">
        <v>0</v>
      </c>
      <c r="H74">
        <v>0</v>
      </c>
      <c r="I74" s="401"/>
      <c r="K74" s="389">
        <v>0</v>
      </c>
      <c r="L74" s="274">
        <f t="shared" si="1"/>
        <v>0</v>
      </c>
    </row>
    <row r="75" spans="1:12" ht="12.75">
      <c r="A75" s="53"/>
      <c r="B75" s="100" t="s">
        <v>227</v>
      </c>
      <c r="C75" s="100">
        <v>0</v>
      </c>
      <c r="D75">
        <v>0</v>
      </c>
      <c r="E75">
        <v>0</v>
      </c>
      <c r="F75" s="33">
        <v>0</v>
      </c>
      <c r="G75">
        <v>0</v>
      </c>
      <c r="H75">
        <v>0</v>
      </c>
      <c r="I75" s="401"/>
      <c r="K75" s="389">
        <v>0</v>
      </c>
      <c r="L75" s="274">
        <f t="shared" si="1"/>
        <v>0</v>
      </c>
    </row>
    <row r="76" spans="1:12" ht="12.75">
      <c r="A76" s="53"/>
      <c r="B76" s="100" t="s">
        <v>186</v>
      </c>
      <c r="C76" s="100">
        <v>0</v>
      </c>
      <c r="D76">
        <v>0</v>
      </c>
      <c r="E76">
        <v>0</v>
      </c>
      <c r="F76" s="33">
        <v>0</v>
      </c>
      <c r="G76">
        <v>0</v>
      </c>
      <c r="H76">
        <v>0</v>
      </c>
      <c r="I76" s="401"/>
      <c r="K76" s="389">
        <v>0</v>
      </c>
      <c r="L76" s="274">
        <f t="shared" si="1"/>
        <v>0</v>
      </c>
    </row>
    <row r="77" spans="1:12" ht="12.75">
      <c r="A77" s="53"/>
      <c r="B77" s="100" t="s">
        <v>228</v>
      </c>
      <c r="C77" s="100">
        <v>361</v>
      </c>
      <c r="D77">
        <v>587</v>
      </c>
      <c r="E77">
        <v>334</v>
      </c>
      <c r="F77" s="33">
        <v>171.45</v>
      </c>
      <c r="G77">
        <v>170</v>
      </c>
      <c r="H77">
        <v>271</v>
      </c>
      <c r="I77" s="401"/>
      <c r="J77" s="398" t="s">
        <v>620</v>
      </c>
      <c r="K77" s="389">
        <v>360.92</v>
      </c>
      <c r="L77" s="274">
        <f t="shared" si="1"/>
        <v>-0.07999999999998408</v>
      </c>
    </row>
    <row r="78" spans="1:12" ht="12.75">
      <c r="A78" s="53" t="s">
        <v>78</v>
      </c>
      <c r="B78" s="100" t="s">
        <v>440</v>
      </c>
      <c r="C78" s="100">
        <v>0</v>
      </c>
      <c r="D78">
        <v>70.2</v>
      </c>
      <c r="E78">
        <v>55.7</v>
      </c>
      <c r="F78" s="33">
        <v>33.67</v>
      </c>
      <c r="G78">
        <v>0</v>
      </c>
      <c r="H78">
        <v>0</v>
      </c>
      <c r="I78" s="401"/>
      <c r="K78" s="389">
        <v>0</v>
      </c>
      <c r="L78" s="274">
        <f t="shared" si="1"/>
        <v>0</v>
      </c>
    </row>
    <row r="79" spans="1:12" ht="12.75">
      <c r="A79" s="53" t="s">
        <v>78</v>
      </c>
      <c r="B79" s="100" t="s">
        <v>187</v>
      </c>
      <c r="C79" s="100">
        <v>0</v>
      </c>
      <c r="D79">
        <v>0</v>
      </c>
      <c r="E79">
        <v>0</v>
      </c>
      <c r="F79" s="33">
        <v>0</v>
      </c>
      <c r="G79">
        <v>0</v>
      </c>
      <c r="H79">
        <v>0</v>
      </c>
      <c r="I79" s="401"/>
      <c r="K79" s="389">
        <v>0</v>
      </c>
      <c r="L79" s="274">
        <f t="shared" si="1"/>
        <v>0</v>
      </c>
    </row>
    <row r="80" spans="1:12" ht="12.75">
      <c r="A80" t="s">
        <v>81</v>
      </c>
      <c r="B80" s="101" t="s">
        <v>228</v>
      </c>
      <c r="C80" s="101">
        <v>0</v>
      </c>
      <c r="D80">
        <v>0</v>
      </c>
      <c r="E80">
        <v>0</v>
      </c>
      <c r="F80" s="33">
        <v>0</v>
      </c>
      <c r="G80">
        <v>0</v>
      </c>
      <c r="H80">
        <v>0</v>
      </c>
      <c r="I80" s="401"/>
      <c r="K80" s="389">
        <v>0</v>
      </c>
      <c r="L80" s="274">
        <f t="shared" si="1"/>
        <v>0</v>
      </c>
    </row>
    <row r="81" spans="2:12" ht="12.75">
      <c r="B81" s="101" t="s">
        <v>440</v>
      </c>
      <c r="C81" s="101">
        <v>0</v>
      </c>
      <c r="D81">
        <v>0</v>
      </c>
      <c r="E81">
        <v>0</v>
      </c>
      <c r="F81" s="33">
        <v>0</v>
      </c>
      <c r="G81">
        <v>0</v>
      </c>
      <c r="H81">
        <v>0</v>
      </c>
      <c r="I81" s="401"/>
      <c r="K81" s="389">
        <v>0</v>
      </c>
      <c r="L81" s="274">
        <f t="shared" si="1"/>
        <v>0</v>
      </c>
    </row>
    <row r="82" spans="1:12" ht="12.75">
      <c r="B82" s="101" t="s">
        <v>187</v>
      </c>
      <c r="C82" s="101">
        <v>0</v>
      </c>
      <c r="D82">
        <v>0</v>
      </c>
      <c r="E82">
        <v>0</v>
      </c>
      <c r="F82" s="33">
        <v>0</v>
      </c>
      <c r="G82">
        <v>0</v>
      </c>
      <c r="H82">
        <v>0</v>
      </c>
      <c r="I82" s="401"/>
      <c r="K82" s="389">
        <v>0</v>
      </c>
      <c r="L82" s="274">
        <f t="shared" si="1"/>
        <v>0</v>
      </c>
    </row>
    <row r="83" spans="1:12" ht="12.75">
      <c r="A83" s="53" t="s">
        <v>226</v>
      </c>
      <c r="B83" s="100" t="s">
        <v>439</v>
      </c>
      <c r="C83" s="100">
        <v>87</v>
      </c>
      <c r="D83">
        <v>996</v>
      </c>
      <c r="E83">
        <v>1283.3</v>
      </c>
      <c r="F83" s="33">
        <v>458</v>
      </c>
      <c r="G83">
        <v>0</v>
      </c>
      <c r="H83">
        <v>400</v>
      </c>
      <c r="I83" s="401"/>
      <c r="J83" s="398" t="s">
        <v>620</v>
      </c>
      <c r="K83" s="389">
        <v>87</v>
      </c>
      <c r="L83" s="274">
        <f t="shared" si="1"/>
        <v>0</v>
      </c>
    </row>
    <row r="84" spans="1:12" ht="12.75">
      <c r="A84" s="53"/>
      <c r="B84" s="100" t="s">
        <v>227</v>
      </c>
      <c r="C84" s="100">
        <v>0</v>
      </c>
      <c r="D84">
        <v>0</v>
      </c>
      <c r="E84">
        <v>0</v>
      </c>
      <c r="F84" s="33">
        <v>0</v>
      </c>
      <c r="G84">
        <v>0</v>
      </c>
      <c r="H84">
        <v>0</v>
      </c>
      <c r="I84" s="401"/>
      <c r="K84" s="389">
        <v>0</v>
      </c>
      <c r="L84" s="274">
        <f t="shared" si="1"/>
        <v>0</v>
      </c>
    </row>
    <row r="85" spans="1:12" ht="12.75">
      <c r="A85" s="53" t="s">
        <v>78</v>
      </c>
      <c r="B85" s="100" t="s">
        <v>186</v>
      </c>
      <c r="C85" s="100">
        <v>0</v>
      </c>
      <c r="D85">
        <v>0</v>
      </c>
      <c r="E85">
        <v>0</v>
      </c>
      <c r="F85" s="33">
        <v>0</v>
      </c>
      <c r="G85">
        <v>0</v>
      </c>
      <c r="H85">
        <v>0</v>
      </c>
      <c r="I85" s="401"/>
      <c r="K85" s="389">
        <v>0</v>
      </c>
      <c r="L85" s="274">
        <f t="shared" si="1"/>
        <v>0</v>
      </c>
    </row>
    <row r="86" spans="1:12" ht="12.75">
      <c r="A86" s="53"/>
      <c r="B86" s="100" t="s">
        <v>229</v>
      </c>
      <c r="C86" s="100">
        <v>0</v>
      </c>
      <c r="D86">
        <v>0</v>
      </c>
      <c r="E86">
        <v>0</v>
      </c>
      <c r="F86" s="33">
        <v>0</v>
      </c>
      <c r="G86">
        <v>0</v>
      </c>
      <c r="H86">
        <v>0</v>
      </c>
      <c r="I86" s="401"/>
      <c r="K86" s="389">
        <v>0</v>
      </c>
      <c r="L86" s="274">
        <f t="shared" si="1"/>
        <v>0</v>
      </c>
    </row>
    <row r="87" spans="1:12" ht="12.75">
      <c r="A87" s="53" t="s">
        <v>78</v>
      </c>
      <c r="B87" s="100" t="s">
        <v>230</v>
      </c>
      <c r="C87" s="100">
        <v>0</v>
      </c>
      <c r="D87">
        <v>39</v>
      </c>
      <c r="E87">
        <v>25</v>
      </c>
      <c r="F87" s="33">
        <v>13</v>
      </c>
      <c r="G87">
        <v>0</v>
      </c>
      <c r="H87">
        <v>0</v>
      </c>
      <c r="I87" s="401"/>
      <c r="K87" s="389">
        <v>0</v>
      </c>
      <c r="L87" s="274">
        <f t="shared" si="1"/>
        <v>0</v>
      </c>
    </row>
    <row r="88" spans="1:12" ht="12.75">
      <c r="A88" s="53" t="s">
        <v>78</v>
      </c>
      <c r="B88" s="100" t="s">
        <v>188</v>
      </c>
      <c r="C88" s="100">
        <v>0</v>
      </c>
      <c r="D88">
        <v>0</v>
      </c>
      <c r="E88">
        <v>0</v>
      </c>
      <c r="F88" s="33">
        <v>0</v>
      </c>
      <c r="G88">
        <v>0</v>
      </c>
      <c r="H88">
        <v>0</v>
      </c>
      <c r="I88" s="401"/>
      <c r="K88" s="389">
        <v>0</v>
      </c>
      <c r="L88" s="274">
        <f t="shared" si="1"/>
        <v>0</v>
      </c>
    </row>
    <row r="89" spans="1:12" ht="12.75">
      <c r="A89" s="53"/>
      <c r="B89" s="100" t="s">
        <v>228</v>
      </c>
      <c r="C89" s="100">
        <v>0</v>
      </c>
      <c r="D89">
        <v>0</v>
      </c>
      <c r="E89">
        <v>0</v>
      </c>
      <c r="F89" s="33">
        <v>0</v>
      </c>
      <c r="G89">
        <v>0</v>
      </c>
      <c r="H89">
        <v>0</v>
      </c>
      <c r="I89" s="401"/>
      <c r="K89" s="389">
        <v>0</v>
      </c>
      <c r="L89" s="274">
        <f t="shared" si="1"/>
        <v>0</v>
      </c>
    </row>
    <row r="90" spans="1:12" ht="12.75">
      <c r="A90" s="53" t="s">
        <v>78</v>
      </c>
      <c r="B90" s="100" t="s">
        <v>440</v>
      </c>
      <c r="C90" s="100">
        <v>0</v>
      </c>
      <c r="D90">
        <v>0</v>
      </c>
      <c r="E90">
        <v>0</v>
      </c>
      <c r="F90" s="33">
        <v>0</v>
      </c>
      <c r="G90">
        <v>0</v>
      </c>
      <c r="H90">
        <v>0</v>
      </c>
      <c r="I90" s="401"/>
      <c r="K90" s="389">
        <v>0</v>
      </c>
      <c r="L90" s="274">
        <f t="shared" si="1"/>
        <v>0</v>
      </c>
    </row>
    <row r="91" spans="1:12" ht="12.75">
      <c r="A91" s="53"/>
      <c r="B91" s="100" t="s">
        <v>187</v>
      </c>
      <c r="C91" s="100">
        <v>0</v>
      </c>
      <c r="D91">
        <v>0</v>
      </c>
      <c r="E91">
        <v>0</v>
      </c>
      <c r="F91" s="33">
        <v>0</v>
      </c>
      <c r="G91">
        <v>0</v>
      </c>
      <c r="H91">
        <v>0</v>
      </c>
      <c r="I91" s="401"/>
      <c r="K91" s="389">
        <v>0</v>
      </c>
      <c r="L91" s="274">
        <f t="shared" si="1"/>
        <v>0</v>
      </c>
    </row>
    <row r="92" spans="1:12" ht="12.75">
      <c r="A92" t="s">
        <v>82</v>
      </c>
      <c r="B92" s="101" t="s">
        <v>228</v>
      </c>
      <c r="C92" s="101">
        <v>0</v>
      </c>
      <c r="D92">
        <v>0</v>
      </c>
      <c r="E92">
        <v>0</v>
      </c>
      <c r="F92" s="33">
        <v>0</v>
      </c>
      <c r="G92">
        <v>0</v>
      </c>
      <c r="H92">
        <v>0</v>
      </c>
      <c r="I92" s="401"/>
      <c r="K92" s="389">
        <v>0</v>
      </c>
      <c r="L92" s="274">
        <f t="shared" si="1"/>
        <v>0</v>
      </c>
    </row>
    <row r="93" spans="2:12" ht="12.75">
      <c r="B93" s="101" t="s">
        <v>440</v>
      </c>
      <c r="C93" s="101">
        <v>1</v>
      </c>
      <c r="D93">
        <v>3.09</v>
      </c>
      <c r="E93">
        <v>21</v>
      </c>
      <c r="F93" s="33">
        <v>1.479</v>
      </c>
      <c r="G93">
        <v>0</v>
      </c>
      <c r="H93">
        <v>3</v>
      </c>
      <c r="I93" s="401"/>
      <c r="J93" s="398" t="s">
        <v>620</v>
      </c>
      <c r="K93" s="389">
        <v>1.332</v>
      </c>
      <c r="L93" s="274">
        <f t="shared" si="1"/>
        <v>0.3320000000000001</v>
      </c>
    </row>
    <row r="94" spans="1:12" ht="12.75">
      <c r="B94" s="101" t="s">
        <v>187</v>
      </c>
      <c r="C94" s="101">
        <v>0</v>
      </c>
      <c r="D94">
        <v>0</v>
      </c>
      <c r="E94">
        <v>0</v>
      </c>
      <c r="F94" s="33">
        <v>0</v>
      </c>
      <c r="G94">
        <v>0</v>
      </c>
      <c r="H94">
        <v>0</v>
      </c>
      <c r="I94" s="401"/>
      <c r="K94" s="389">
        <v>0</v>
      </c>
      <c r="L94" s="274">
        <f t="shared" si="1"/>
        <v>0</v>
      </c>
    </row>
    <row r="95" spans="1:12" ht="12.75">
      <c r="A95" s="53" t="s">
        <v>83</v>
      </c>
      <c r="B95" s="100" t="s">
        <v>229</v>
      </c>
      <c r="C95" s="100">
        <v>0</v>
      </c>
      <c r="D95">
        <v>0</v>
      </c>
      <c r="E95">
        <v>0</v>
      </c>
      <c r="F95" s="33">
        <v>0</v>
      </c>
      <c r="G95">
        <v>0</v>
      </c>
      <c r="H95">
        <v>0</v>
      </c>
      <c r="I95" s="401"/>
      <c r="K95" s="389">
        <v>0</v>
      </c>
      <c r="L95" s="274">
        <f t="shared" si="1"/>
        <v>0</v>
      </c>
    </row>
    <row r="96" spans="1:12" ht="12.75">
      <c r="A96" s="53"/>
      <c r="B96" s="100" t="s">
        <v>230</v>
      </c>
      <c r="C96" s="100">
        <v>0</v>
      </c>
      <c r="D96">
        <v>0</v>
      </c>
      <c r="E96">
        <v>0</v>
      </c>
      <c r="F96" s="33">
        <v>0</v>
      </c>
      <c r="G96">
        <v>0</v>
      </c>
      <c r="H96">
        <v>0</v>
      </c>
      <c r="I96" s="401"/>
      <c r="K96" s="389">
        <v>0</v>
      </c>
      <c r="L96" s="274">
        <f t="shared" si="1"/>
        <v>0</v>
      </c>
    </row>
    <row r="97" spans="1:12" ht="12.75">
      <c r="A97" s="53" t="s">
        <v>78</v>
      </c>
      <c r="B97" s="100" t="s">
        <v>188</v>
      </c>
      <c r="C97" s="100">
        <v>0</v>
      </c>
      <c r="D97">
        <v>0</v>
      </c>
      <c r="E97">
        <v>0</v>
      </c>
      <c r="F97" s="33">
        <v>0</v>
      </c>
      <c r="G97">
        <v>0</v>
      </c>
      <c r="H97">
        <v>0</v>
      </c>
      <c r="I97" s="401"/>
      <c r="K97" s="389">
        <v>0</v>
      </c>
      <c r="L97" s="274">
        <f t="shared" si="1"/>
        <v>0</v>
      </c>
    </row>
    <row r="98" spans="1:12" ht="12.75">
      <c r="A98" s="53"/>
      <c r="B98" s="100" t="s">
        <v>228</v>
      </c>
      <c r="C98" s="100">
        <v>0</v>
      </c>
      <c r="D98">
        <v>0</v>
      </c>
      <c r="E98">
        <v>0</v>
      </c>
      <c r="F98" s="33">
        <v>0</v>
      </c>
      <c r="G98">
        <v>0</v>
      </c>
      <c r="H98">
        <v>0</v>
      </c>
      <c r="I98" s="401"/>
      <c r="K98" s="389">
        <v>0</v>
      </c>
      <c r="L98" s="274">
        <f t="shared" si="1"/>
        <v>0</v>
      </c>
    </row>
    <row r="99" spans="1:12" ht="12.75">
      <c r="A99" s="53" t="s">
        <v>78</v>
      </c>
      <c r="B99" s="100" t="s">
        <v>440</v>
      </c>
      <c r="C99" s="100">
        <v>0</v>
      </c>
      <c r="D99">
        <v>0</v>
      </c>
      <c r="E99">
        <v>15.5</v>
      </c>
      <c r="F99" s="33">
        <v>0</v>
      </c>
      <c r="G99">
        <v>0</v>
      </c>
      <c r="H99">
        <v>0</v>
      </c>
      <c r="I99" s="401"/>
      <c r="K99" s="389">
        <v>0</v>
      </c>
      <c r="L99" s="274">
        <f t="shared" si="1"/>
        <v>0</v>
      </c>
    </row>
    <row r="100" spans="1:12" ht="12.75">
      <c r="A100" s="53" t="s">
        <v>78</v>
      </c>
      <c r="B100" s="100" t="s">
        <v>187</v>
      </c>
      <c r="C100" s="100">
        <v>0</v>
      </c>
      <c r="D100">
        <v>0</v>
      </c>
      <c r="E100">
        <v>0</v>
      </c>
      <c r="F100" s="33">
        <v>0</v>
      </c>
      <c r="G100">
        <v>0</v>
      </c>
      <c r="H100">
        <v>0</v>
      </c>
      <c r="I100" s="401"/>
      <c r="K100" s="389">
        <v>0</v>
      </c>
      <c r="L100" s="274">
        <f t="shared" si="1"/>
        <v>0</v>
      </c>
    </row>
    <row r="101" spans="1:12" ht="12.75">
      <c r="A101" t="s">
        <v>84</v>
      </c>
      <c r="B101" s="101" t="s">
        <v>228</v>
      </c>
      <c r="C101" s="101">
        <v>0</v>
      </c>
      <c r="D101">
        <v>0</v>
      </c>
      <c r="E101">
        <v>0</v>
      </c>
      <c r="F101" s="33">
        <v>0</v>
      </c>
      <c r="G101">
        <v>0</v>
      </c>
      <c r="H101">
        <v>0</v>
      </c>
      <c r="I101" s="401"/>
      <c r="K101" s="389">
        <v>0</v>
      </c>
      <c r="L101" s="274">
        <f t="shared" si="1"/>
        <v>0</v>
      </c>
    </row>
    <row r="102" spans="2:12" ht="12.75">
      <c r="B102" s="101" t="s">
        <v>440</v>
      </c>
      <c r="C102" s="101">
        <v>0</v>
      </c>
      <c r="D102">
        <v>341</v>
      </c>
      <c r="E102">
        <v>167</v>
      </c>
      <c r="F102" s="33">
        <v>123.25</v>
      </c>
      <c r="G102">
        <v>121</v>
      </c>
      <c r="H102">
        <v>0</v>
      </c>
      <c r="I102" s="401"/>
      <c r="K102" s="389">
        <v>0</v>
      </c>
      <c r="L102" s="274">
        <f t="shared" si="1"/>
        <v>0</v>
      </c>
    </row>
    <row r="103" spans="1:12" ht="12.75">
      <c r="B103" s="101" t="s">
        <v>187</v>
      </c>
      <c r="C103" s="101">
        <v>0</v>
      </c>
      <c r="D103">
        <v>0</v>
      </c>
      <c r="E103">
        <v>0</v>
      </c>
      <c r="F103" s="33">
        <v>0</v>
      </c>
      <c r="G103">
        <v>0</v>
      </c>
      <c r="H103">
        <v>0</v>
      </c>
      <c r="I103" s="401"/>
      <c r="K103" s="389">
        <v>0</v>
      </c>
      <c r="L103" s="274">
        <f t="shared" si="1"/>
        <v>0</v>
      </c>
    </row>
    <row r="104" spans="1:12" ht="12.75">
      <c r="A104" s="53" t="s">
        <v>85</v>
      </c>
      <c r="B104" s="100" t="s">
        <v>228</v>
      </c>
      <c r="C104" s="100">
        <v>0</v>
      </c>
      <c r="D104">
        <v>0</v>
      </c>
      <c r="E104">
        <v>0</v>
      </c>
      <c r="F104" s="33">
        <v>0</v>
      </c>
      <c r="G104">
        <v>0</v>
      </c>
      <c r="H104">
        <v>0</v>
      </c>
      <c r="I104" s="401"/>
      <c r="K104" s="389">
        <v>0</v>
      </c>
      <c r="L104" s="274">
        <f t="shared" si="1"/>
        <v>0</v>
      </c>
    </row>
    <row r="105" spans="1:12" ht="12.75">
      <c r="A105" s="53" t="s">
        <v>78</v>
      </c>
      <c r="B105" s="100" t="s">
        <v>440</v>
      </c>
      <c r="C105" s="100">
        <v>91</v>
      </c>
      <c r="D105">
        <v>291</v>
      </c>
      <c r="E105">
        <v>255</v>
      </c>
      <c r="F105" s="33">
        <v>258.8</v>
      </c>
      <c r="G105">
        <v>305</v>
      </c>
      <c r="H105">
        <v>25</v>
      </c>
      <c r="I105" s="401"/>
      <c r="J105" s="398" t="s">
        <v>620</v>
      </c>
      <c r="K105" s="389">
        <v>90.913</v>
      </c>
      <c r="L105" s="274">
        <f t="shared" si="1"/>
        <v>-0.0870000000000033</v>
      </c>
    </row>
    <row r="106" spans="1:12" ht="12.75">
      <c r="A106" s="53" t="s">
        <v>78</v>
      </c>
      <c r="B106" s="100" t="s">
        <v>187</v>
      </c>
      <c r="C106" s="100">
        <v>0</v>
      </c>
      <c r="D106">
        <v>0</v>
      </c>
      <c r="E106">
        <v>0</v>
      </c>
      <c r="F106" s="33">
        <v>0</v>
      </c>
      <c r="G106">
        <v>0</v>
      </c>
      <c r="H106">
        <v>0</v>
      </c>
      <c r="I106" s="401"/>
      <c r="K106" s="389">
        <v>0</v>
      </c>
      <c r="L106" s="274">
        <f t="shared" si="1"/>
        <v>0</v>
      </c>
    </row>
    <row r="107" spans="1:12" ht="12.75">
      <c r="A107" s="53"/>
      <c r="B107" s="100" t="s">
        <v>231</v>
      </c>
      <c r="C107" s="100">
        <v>0</v>
      </c>
      <c r="D107">
        <v>0</v>
      </c>
      <c r="E107">
        <v>0</v>
      </c>
      <c r="F107" s="33">
        <v>0</v>
      </c>
      <c r="G107">
        <v>0</v>
      </c>
      <c r="H107">
        <v>0</v>
      </c>
      <c r="I107" s="401"/>
      <c r="K107" s="389">
        <v>0</v>
      </c>
      <c r="L107" s="274">
        <f t="shared" si="1"/>
        <v>0</v>
      </c>
    </row>
    <row r="108" spans="1:12" ht="12.75">
      <c r="A108" s="53" t="s">
        <v>78</v>
      </c>
      <c r="B108" s="100" t="s">
        <v>250</v>
      </c>
      <c r="C108" s="100">
        <v>40</v>
      </c>
      <c r="D108">
        <v>106</v>
      </c>
      <c r="E108">
        <v>57.5</v>
      </c>
      <c r="F108" s="33">
        <v>77.6</v>
      </c>
      <c r="G108">
        <v>94</v>
      </c>
      <c r="H108">
        <v>25</v>
      </c>
      <c r="I108" s="401"/>
      <c r="J108" s="398" t="s">
        <v>620</v>
      </c>
      <c r="K108" s="389">
        <v>39.771</v>
      </c>
      <c r="L108" s="274">
        <f t="shared" si="1"/>
        <v>-0.2289999999999992</v>
      </c>
    </row>
    <row r="109" spans="1:12" ht="12.75">
      <c r="A109" s="53" t="s">
        <v>78</v>
      </c>
      <c r="B109" s="100" t="s">
        <v>189</v>
      </c>
      <c r="C109" s="100">
        <v>0</v>
      </c>
      <c r="D109">
        <v>0</v>
      </c>
      <c r="E109">
        <v>0</v>
      </c>
      <c r="F109" s="33">
        <v>0</v>
      </c>
      <c r="G109">
        <v>0</v>
      </c>
      <c r="H109">
        <v>0</v>
      </c>
      <c r="I109" s="401"/>
      <c r="K109" s="389">
        <v>0</v>
      </c>
      <c r="L109" s="274">
        <f t="shared" si="1"/>
        <v>0</v>
      </c>
    </row>
    <row r="110" spans="1:12" ht="12.75">
      <c r="A110" t="s">
        <v>86</v>
      </c>
      <c r="B110" s="101" t="s">
        <v>439</v>
      </c>
      <c r="C110" s="101">
        <v>0</v>
      </c>
      <c r="D110">
        <v>0</v>
      </c>
      <c r="E110">
        <v>0</v>
      </c>
      <c r="F110" s="33">
        <v>0</v>
      </c>
      <c r="G110">
        <v>0</v>
      </c>
      <c r="H110">
        <v>0</v>
      </c>
      <c r="I110" s="401"/>
      <c r="K110" s="389">
        <v>0</v>
      </c>
      <c r="L110" s="274">
        <f t="shared" si="1"/>
        <v>0</v>
      </c>
    </row>
    <row r="111" spans="2:12" ht="12.75">
      <c r="B111" s="101" t="s">
        <v>227</v>
      </c>
      <c r="C111" s="101">
        <v>0</v>
      </c>
      <c r="D111">
        <v>0</v>
      </c>
      <c r="E111">
        <v>0</v>
      </c>
      <c r="F111" s="33">
        <v>0</v>
      </c>
      <c r="G111">
        <v>0</v>
      </c>
      <c r="H111">
        <v>0</v>
      </c>
      <c r="I111" s="401"/>
      <c r="K111" s="389">
        <v>0</v>
      </c>
      <c r="L111" s="274">
        <f t="shared" si="1"/>
        <v>0</v>
      </c>
    </row>
    <row r="112" spans="1:12" ht="12.75">
      <c r="B112" s="101" t="s">
        <v>186</v>
      </c>
      <c r="C112" s="101">
        <v>0</v>
      </c>
      <c r="D112">
        <v>0</v>
      </c>
      <c r="E112">
        <v>0</v>
      </c>
      <c r="F112" s="33">
        <v>0</v>
      </c>
      <c r="G112">
        <v>0</v>
      </c>
      <c r="H112">
        <v>0</v>
      </c>
      <c r="I112" s="401"/>
      <c r="K112" s="389">
        <v>0</v>
      </c>
      <c r="L112" s="274">
        <f t="shared" si="1"/>
        <v>0</v>
      </c>
    </row>
    <row r="113" spans="2:12" ht="12.75">
      <c r="B113" s="101" t="s">
        <v>229</v>
      </c>
      <c r="C113" s="101">
        <v>0</v>
      </c>
      <c r="D113">
        <v>0</v>
      </c>
      <c r="E113">
        <v>0</v>
      </c>
      <c r="F113" s="33">
        <v>0</v>
      </c>
      <c r="G113">
        <v>0</v>
      </c>
      <c r="H113">
        <v>0</v>
      </c>
      <c r="I113" s="401"/>
      <c r="K113" s="389">
        <v>0</v>
      </c>
      <c r="L113" s="274">
        <f t="shared" si="1"/>
        <v>0</v>
      </c>
    </row>
    <row r="114" spans="1:12" ht="12.75">
      <c r="B114" s="101" t="s">
        <v>230</v>
      </c>
      <c r="C114" s="101">
        <v>0</v>
      </c>
      <c r="D114">
        <v>26</v>
      </c>
      <c r="E114">
        <v>22</v>
      </c>
      <c r="F114" s="33">
        <v>12</v>
      </c>
      <c r="G114">
        <v>7.14</v>
      </c>
      <c r="H114">
        <v>0</v>
      </c>
      <c r="I114" s="401"/>
      <c r="K114" s="389">
        <v>0</v>
      </c>
      <c r="L114" s="274">
        <f t="shared" si="1"/>
        <v>0</v>
      </c>
    </row>
    <row r="115" spans="1:12" ht="12.75">
      <c r="B115" s="101" t="s">
        <v>188</v>
      </c>
      <c r="C115" s="101">
        <v>0</v>
      </c>
      <c r="D115">
        <v>0</v>
      </c>
      <c r="E115">
        <v>0</v>
      </c>
      <c r="F115" s="33">
        <v>0</v>
      </c>
      <c r="G115">
        <v>0</v>
      </c>
      <c r="H115">
        <v>0</v>
      </c>
      <c r="I115" s="401"/>
      <c r="K115" s="389">
        <v>0</v>
      </c>
      <c r="L115" s="274">
        <f t="shared" si="1"/>
        <v>0</v>
      </c>
    </row>
    <row r="116" spans="2:12" ht="12.75">
      <c r="B116" s="101" t="s">
        <v>228</v>
      </c>
      <c r="C116" s="101">
        <v>0</v>
      </c>
      <c r="D116">
        <v>0</v>
      </c>
      <c r="E116">
        <v>0</v>
      </c>
      <c r="F116" s="33">
        <v>0</v>
      </c>
      <c r="G116">
        <v>0</v>
      </c>
      <c r="H116">
        <v>0</v>
      </c>
      <c r="I116" s="401"/>
      <c r="K116" s="389">
        <v>0</v>
      </c>
      <c r="L116" s="274">
        <f t="shared" si="1"/>
        <v>0</v>
      </c>
    </row>
    <row r="117" spans="1:12" ht="12.75">
      <c r="B117" s="101" t="s">
        <v>440</v>
      </c>
      <c r="C117" s="101">
        <v>3</v>
      </c>
      <c r="D117">
        <v>0</v>
      </c>
      <c r="E117">
        <v>0</v>
      </c>
      <c r="F117" s="33">
        <v>0</v>
      </c>
      <c r="G117">
        <v>0</v>
      </c>
      <c r="H117">
        <v>3</v>
      </c>
      <c r="I117" s="401"/>
      <c r="K117" s="389">
        <v>0</v>
      </c>
      <c r="L117" s="274">
        <f t="shared" si="1"/>
        <v>-3</v>
      </c>
    </row>
    <row r="118" spans="1:12" ht="12.75">
      <c r="B118" s="101" t="s">
        <v>187</v>
      </c>
      <c r="C118" s="101">
        <v>0</v>
      </c>
      <c r="D118">
        <v>0</v>
      </c>
      <c r="E118">
        <v>0</v>
      </c>
      <c r="F118" s="33">
        <v>0</v>
      </c>
      <c r="G118">
        <v>0</v>
      </c>
      <c r="H118">
        <v>0</v>
      </c>
      <c r="I118" s="401"/>
      <c r="K118" s="389">
        <v>0</v>
      </c>
      <c r="L118" s="274">
        <f t="shared" si="1"/>
        <v>0</v>
      </c>
    </row>
    <row r="119" spans="2:12" ht="12.75">
      <c r="B119" s="101" t="s">
        <v>231</v>
      </c>
      <c r="C119" s="101">
        <v>0</v>
      </c>
      <c r="E119">
        <v>0</v>
      </c>
      <c r="F119" s="33">
        <v>0</v>
      </c>
      <c r="G119">
        <v>0</v>
      </c>
      <c r="H119">
        <v>0</v>
      </c>
      <c r="I119" s="401"/>
      <c r="K119" s="389">
        <v>0</v>
      </c>
      <c r="L119" s="274">
        <f t="shared" si="1"/>
        <v>0</v>
      </c>
    </row>
    <row r="120" spans="2:12" ht="12.75">
      <c r="B120" s="101" t="s">
        <v>250</v>
      </c>
      <c r="C120" s="101">
        <v>0</v>
      </c>
      <c r="E120">
        <v>0</v>
      </c>
      <c r="F120" s="33">
        <v>0</v>
      </c>
      <c r="G120">
        <v>0</v>
      </c>
      <c r="H120">
        <v>0</v>
      </c>
      <c r="I120" s="401"/>
      <c r="K120" s="389">
        <v>0</v>
      </c>
      <c r="L120" s="274">
        <f t="shared" si="1"/>
        <v>0</v>
      </c>
    </row>
    <row r="121" spans="2:12" ht="12.75">
      <c r="B121" s="101" t="s">
        <v>189</v>
      </c>
      <c r="C121" s="101">
        <v>0</v>
      </c>
      <c r="E121">
        <v>0</v>
      </c>
      <c r="F121" s="33">
        <v>0</v>
      </c>
      <c r="G121">
        <v>0</v>
      </c>
      <c r="H121">
        <v>0</v>
      </c>
      <c r="I121" s="401"/>
      <c r="K121" s="389">
        <v>0</v>
      </c>
      <c r="L121" s="274">
        <f t="shared" si="1"/>
        <v>0</v>
      </c>
    </row>
    <row r="122" spans="1:12" ht="12.75">
      <c r="A122" s="53" t="s">
        <v>87</v>
      </c>
      <c r="B122" s="100" t="s">
        <v>229</v>
      </c>
      <c r="C122" s="100">
        <v>0</v>
      </c>
      <c r="D122">
        <v>0</v>
      </c>
      <c r="E122">
        <v>0</v>
      </c>
      <c r="F122" s="33">
        <v>0</v>
      </c>
      <c r="G122">
        <v>0</v>
      </c>
      <c r="H122">
        <v>0</v>
      </c>
      <c r="I122" s="401"/>
      <c r="K122" s="389">
        <v>0</v>
      </c>
      <c r="L122" s="274">
        <f t="shared" si="1"/>
        <v>0</v>
      </c>
    </row>
    <row r="123" spans="1:12" ht="12.75">
      <c r="A123" s="53"/>
      <c r="B123" s="100" t="s">
        <v>230</v>
      </c>
      <c r="C123" s="100">
        <v>6</v>
      </c>
      <c r="D123">
        <v>14</v>
      </c>
      <c r="E123">
        <v>28</v>
      </c>
      <c r="F123" s="33">
        <v>3</v>
      </c>
      <c r="G123">
        <v>3</v>
      </c>
      <c r="H123">
        <v>6</v>
      </c>
      <c r="I123" s="401"/>
      <c r="K123" s="389">
        <v>0</v>
      </c>
      <c r="L123" s="274">
        <f t="shared" si="1"/>
        <v>-6</v>
      </c>
    </row>
    <row r="124" spans="1:12" ht="12.75">
      <c r="A124" s="53" t="s">
        <v>78</v>
      </c>
      <c r="B124" s="100" t="s">
        <v>188</v>
      </c>
      <c r="C124" s="100">
        <v>0</v>
      </c>
      <c r="D124">
        <v>0</v>
      </c>
      <c r="E124">
        <v>0</v>
      </c>
      <c r="F124" s="33">
        <v>0</v>
      </c>
      <c r="H124">
        <v>0</v>
      </c>
      <c r="I124" s="401"/>
      <c r="K124" s="389">
        <v>0</v>
      </c>
      <c r="L124" s="274">
        <f t="shared" si="1"/>
        <v>0</v>
      </c>
    </row>
    <row r="125" spans="1:12" ht="12.75">
      <c r="A125" s="53"/>
      <c r="B125" s="100" t="s">
        <v>228</v>
      </c>
      <c r="C125" s="100">
        <v>0</v>
      </c>
      <c r="D125">
        <v>0</v>
      </c>
      <c r="E125">
        <v>0</v>
      </c>
      <c r="F125" s="33">
        <v>0</v>
      </c>
      <c r="G125">
        <v>0</v>
      </c>
      <c r="H125">
        <v>0</v>
      </c>
      <c r="I125" s="401"/>
      <c r="K125" s="389">
        <v>0</v>
      </c>
      <c r="L125" s="274">
        <f t="shared" si="1"/>
        <v>0</v>
      </c>
    </row>
    <row r="126" spans="1:12" ht="12.75">
      <c r="A126" s="53" t="s">
        <v>78</v>
      </c>
      <c r="B126" s="100" t="s">
        <v>440</v>
      </c>
      <c r="C126" s="100">
        <v>0</v>
      </c>
      <c r="D126">
        <v>0</v>
      </c>
      <c r="E126">
        <v>19.6</v>
      </c>
      <c r="F126" s="33">
        <v>53.6</v>
      </c>
      <c r="G126">
        <v>22</v>
      </c>
      <c r="H126">
        <v>189</v>
      </c>
      <c r="I126" s="401"/>
      <c r="K126" s="389">
        <v>0</v>
      </c>
      <c r="L126" s="274">
        <f t="shared" si="1"/>
        <v>0</v>
      </c>
    </row>
    <row r="127" spans="1:12" ht="12.75">
      <c r="A127" s="53" t="s">
        <v>78</v>
      </c>
      <c r="B127" s="100" t="s">
        <v>187</v>
      </c>
      <c r="C127" s="100">
        <v>0</v>
      </c>
      <c r="D127">
        <v>0</v>
      </c>
      <c r="E127">
        <v>0</v>
      </c>
      <c r="F127" s="33">
        <v>0</v>
      </c>
      <c r="G127">
        <v>0</v>
      </c>
      <c r="H127">
        <v>0</v>
      </c>
      <c r="I127" s="401"/>
      <c r="K127" s="389">
        <v>0</v>
      </c>
      <c r="L127" s="274">
        <f t="shared" si="1"/>
        <v>0</v>
      </c>
    </row>
    <row r="128" spans="1:12" ht="12.75">
      <c r="A128" s="53"/>
      <c r="B128" s="100" t="s">
        <v>231</v>
      </c>
      <c r="C128" s="100">
        <v>0</v>
      </c>
      <c r="D128">
        <v>0</v>
      </c>
      <c r="E128">
        <v>0</v>
      </c>
      <c r="F128" s="33">
        <v>0</v>
      </c>
      <c r="G128">
        <v>0</v>
      </c>
      <c r="H128">
        <v>0</v>
      </c>
      <c r="I128" s="401"/>
      <c r="K128" s="389">
        <v>0</v>
      </c>
      <c r="L128" s="274">
        <f t="shared" si="1"/>
        <v>0</v>
      </c>
    </row>
    <row r="129" spans="1:12" ht="12.75">
      <c r="A129" s="53" t="s">
        <v>78</v>
      </c>
      <c r="B129" s="100" t="s">
        <v>250</v>
      </c>
      <c r="C129" s="100">
        <v>0</v>
      </c>
      <c r="D129">
        <v>19.8</v>
      </c>
      <c r="E129">
        <v>0</v>
      </c>
      <c r="F129" s="33">
        <v>0</v>
      </c>
      <c r="G129">
        <v>0</v>
      </c>
      <c r="H129">
        <v>0</v>
      </c>
      <c r="I129" s="401"/>
      <c r="K129" s="389">
        <v>0</v>
      </c>
      <c r="L129" s="274">
        <f t="shared" si="1"/>
        <v>0</v>
      </c>
    </row>
    <row r="130" spans="1:12" ht="12.75">
      <c r="A130" s="53" t="s">
        <v>78</v>
      </c>
      <c r="B130" s="100" t="s">
        <v>189</v>
      </c>
      <c r="C130" s="100">
        <v>0</v>
      </c>
      <c r="D130">
        <v>0</v>
      </c>
      <c r="E130">
        <v>0</v>
      </c>
      <c r="F130" s="33">
        <v>0</v>
      </c>
      <c r="G130">
        <v>0</v>
      </c>
      <c r="H130">
        <v>0</v>
      </c>
      <c r="I130" s="401"/>
      <c r="K130" s="389">
        <v>0</v>
      </c>
      <c r="L130" s="274">
        <f t="shared" si="1"/>
        <v>0</v>
      </c>
    </row>
    <row r="131" spans="1:12" ht="12.75">
      <c r="A131" t="s">
        <v>88</v>
      </c>
      <c r="B131" s="101" t="s">
        <v>229</v>
      </c>
      <c r="C131" s="101">
        <v>0</v>
      </c>
      <c r="D131">
        <v>0</v>
      </c>
      <c r="E131">
        <v>0</v>
      </c>
      <c r="F131" s="33">
        <v>0</v>
      </c>
      <c r="G131">
        <v>0</v>
      </c>
      <c r="H131">
        <v>0</v>
      </c>
      <c r="I131" s="401"/>
      <c r="K131" s="389">
        <v>0</v>
      </c>
      <c r="L131" s="274">
        <f t="shared" si="1"/>
        <v>0</v>
      </c>
    </row>
    <row r="132" spans="2:12" ht="12.75">
      <c r="B132" s="101" t="s">
        <v>230</v>
      </c>
      <c r="C132" s="101">
        <v>300</v>
      </c>
      <c r="D132">
        <v>273</v>
      </c>
      <c r="E132">
        <v>87</v>
      </c>
      <c r="F132" s="33">
        <v>159</v>
      </c>
      <c r="G132">
        <v>94.05</v>
      </c>
      <c r="H132">
        <v>165</v>
      </c>
      <c r="I132" s="401"/>
      <c r="K132" s="389">
        <v>300</v>
      </c>
      <c r="L132" s="274">
        <f t="shared" si="1"/>
        <v>0</v>
      </c>
    </row>
    <row r="133" spans="1:12" ht="12.75">
      <c r="B133" s="101" t="s">
        <v>188</v>
      </c>
      <c r="C133" s="101">
        <v>203</v>
      </c>
      <c r="D133">
        <v>548</v>
      </c>
      <c r="E133">
        <v>496</v>
      </c>
      <c r="F133" s="33">
        <v>382</v>
      </c>
      <c r="G133">
        <v>419.8</v>
      </c>
      <c r="H133">
        <v>362</v>
      </c>
      <c r="I133" s="401"/>
      <c r="K133" s="389">
        <v>203</v>
      </c>
      <c r="L133" s="274">
        <f aca="true" t="shared" si="2" ref="L133:L196">K133-C133</f>
        <v>0</v>
      </c>
    </row>
    <row r="134" spans="2:12" ht="12.75">
      <c r="B134" s="101" t="s">
        <v>231</v>
      </c>
      <c r="C134" s="101">
        <v>0</v>
      </c>
      <c r="D134">
        <v>0</v>
      </c>
      <c r="E134">
        <v>0</v>
      </c>
      <c r="F134" s="33">
        <v>0</v>
      </c>
      <c r="G134">
        <v>0</v>
      </c>
      <c r="H134">
        <v>0</v>
      </c>
      <c r="I134" s="401"/>
      <c r="K134" s="389">
        <v>0</v>
      </c>
      <c r="L134" s="274">
        <f t="shared" si="2"/>
        <v>0</v>
      </c>
    </row>
    <row r="135" spans="1:12" ht="12.75">
      <c r="B135" s="101" t="s">
        <v>250</v>
      </c>
      <c r="C135" s="101">
        <v>63</v>
      </c>
      <c r="D135">
        <v>59.2</v>
      </c>
      <c r="E135">
        <v>44.3</v>
      </c>
      <c r="F135" s="33">
        <v>21</v>
      </c>
      <c r="G135">
        <v>21</v>
      </c>
      <c r="H135">
        <v>43</v>
      </c>
      <c r="I135" s="401"/>
      <c r="J135" s="398" t="s">
        <v>620</v>
      </c>
      <c r="K135" s="389">
        <v>63.225</v>
      </c>
      <c r="L135" s="274">
        <f t="shared" si="2"/>
        <v>0.22500000000000142</v>
      </c>
    </row>
    <row r="136" spans="1:12" ht="12.75">
      <c r="B136" s="101" t="s">
        <v>189</v>
      </c>
      <c r="C136" s="101">
        <v>0</v>
      </c>
      <c r="D136">
        <v>0</v>
      </c>
      <c r="E136">
        <v>0</v>
      </c>
      <c r="F136" s="33">
        <v>0</v>
      </c>
      <c r="G136">
        <v>0</v>
      </c>
      <c r="H136">
        <v>0</v>
      </c>
      <c r="I136" s="401"/>
      <c r="K136" s="389">
        <v>0</v>
      </c>
      <c r="L136" s="274">
        <f t="shared" si="2"/>
        <v>0</v>
      </c>
    </row>
    <row r="137" spans="1:12" ht="12.75">
      <c r="A137" s="53" t="s">
        <v>89</v>
      </c>
      <c r="B137" s="100" t="s">
        <v>229</v>
      </c>
      <c r="C137" s="100">
        <v>0</v>
      </c>
      <c r="D137">
        <v>0</v>
      </c>
      <c r="E137">
        <v>0</v>
      </c>
      <c r="F137" s="33">
        <v>0</v>
      </c>
      <c r="G137">
        <v>0</v>
      </c>
      <c r="H137">
        <v>0</v>
      </c>
      <c r="I137" s="401"/>
      <c r="K137" s="389">
        <v>0</v>
      </c>
      <c r="L137" s="274">
        <f t="shared" si="2"/>
        <v>0</v>
      </c>
    </row>
    <row r="138" spans="1:12" ht="12.75">
      <c r="A138" s="53"/>
      <c r="B138" s="100" t="s">
        <v>230</v>
      </c>
      <c r="C138" s="100">
        <v>449</v>
      </c>
      <c r="D138">
        <v>1064</v>
      </c>
      <c r="E138">
        <v>668</v>
      </c>
      <c r="F138" s="33">
        <v>767</v>
      </c>
      <c r="G138">
        <v>775.95</v>
      </c>
      <c r="H138">
        <v>518</v>
      </c>
      <c r="I138" s="401"/>
      <c r="J138" s="398" t="s">
        <v>643</v>
      </c>
      <c r="K138" s="389">
        <v>756</v>
      </c>
      <c r="L138" s="274">
        <f t="shared" si="2"/>
        <v>307</v>
      </c>
    </row>
    <row r="139" spans="1:12" ht="12.75">
      <c r="A139" s="53" t="s">
        <v>78</v>
      </c>
      <c r="B139" s="100" t="s">
        <v>188</v>
      </c>
      <c r="C139" s="98">
        <v>0</v>
      </c>
      <c r="D139">
        <v>0</v>
      </c>
      <c r="E139">
        <v>0</v>
      </c>
      <c r="F139" s="33">
        <v>0</v>
      </c>
      <c r="G139">
        <v>0</v>
      </c>
      <c r="H139">
        <v>0</v>
      </c>
      <c r="I139" s="401"/>
      <c r="K139" s="389">
        <v>0</v>
      </c>
      <c r="L139" s="274">
        <f t="shared" si="2"/>
        <v>0</v>
      </c>
    </row>
    <row r="140" spans="1:12" ht="12.75">
      <c r="A140" s="53"/>
      <c r="B140" s="100" t="s">
        <v>228</v>
      </c>
      <c r="C140" s="100">
        <v>682</v>
      </c>
      <c r="D140">
        <v>3719</v>
      </c>
      <c r="E140">
        <v>3066</v>
      </c>
      <c r="F140" s="33">
        <v>1660.7</v>
      </c>
      <c r="G140">
        <v>2460</v>
      </c>
      <c r="H140">
        <v>835</v>
      </c>
      <c r="I140" s="401"/>
      <c r="J140" s="398" t="s">
        <v>620</v>
      </c>
      <c r="K140" s="389">
        <v>682.46</v>
      </c>
      <c r="L140" s="274">
        <f t="shared" si="2"/>
        <v>0.4600000000000364</v>
      </c>
    </row>
    <row r="141" spans="1:12" ht="12.75">
      <c r="A141" s="53" t="s">
        <v>78</v>
      </c>
      <c r="B141" s="100" t="s">
        <v>440</v>
      </c>
      <c r="C141" s="100">
        <v>1053</v>
      </c>
      <c r="D141">
        <v>1401</v>
      </c>
      <c r="E141">
        <v>1931</v>
      </c>
      <c r="F141" s="33">
        <v>1918</v>
      </c>
      <c r="G141" s="424">
        <v>1287</v>
      </c>
      <c r="H141" s="424">
        <v>1033</v>
      </c>
      <c r="I141"/>
      <c r="J141" s="398" t="s">
        <v>620</v>
      </c>
      <c r="K141" s="389">
        <v>1052.7559999999999</v>
      </c>
      <c r="L141" s="274">
        <f t="shared" si="2"/>
        <v>-0.24400000000014188</v>
      </c>
    </row>
    <row r="142" spans="1:12" ht="12.75">
      <c r="A142" s="53" t="s">
        <v>78</v>
      </c>
      <c r="B142" s="100" t="s">
        <v>187</v>
      </c>
      <c r="C142" s="100">
        <v>0</v>
      </c>
      <c r="D142">
        <v>0</v>
      </c>
      <c r="E142">
        <v>0</v>
      </c>
      <c r="F142" s="33">
        <v>0</v>
      </c>
      <c r="G142">
        <v>0</v>
      </c>
      <c r="H142">
        <v>0</v>
      </c>
      <c r="I142" s="401"/>
      <c r="K142" s="389">
        <v>0</v>
      </c>
      <c r="L142" s="274">
        <f t="shared" si="2"/>
        <v>0</v>
      </c>
    </row>
    <row r="143" spans="1:12" ht="12.75">
      <c r="A143" s="53"/>
      <c r="B143" s="100" t="s">
        <v>279</v>
      </c>
      <c r="C143" s="100">
        <v>0</v>
      </c>
      <c r="D143">
        <v>0</v>
      </c>
      <c r="E143">
        <v>0</v>
      </c>
      <c r="F143" s="33">
        <v>0</v>
      </c>
      <c r="G143">
        <v>0</v>
      </c>
      <c r="H143">
        <v>0</v>
      </c>
      <c r="I143" s="401"/>
      <c r="K143" s="389">
        <v>0</v>
      </c>
      <c r="L143" s="274">
        <f t="shared" si="2"/>
        <v>0</v>
      </c>
    </row>
    <row r="144" spans="1:12" ht="12.75">
      <c r="A144" s="53" t="s">
        <v>78</v>
      </c>
      <c r="B144" s="100" t="s">
        <v>441</v>
      </c>
      <c r="C144" s="100">
        <v>244</v>
      </c>
      <c r="D144">
        <v>1562</v>
      </c>
      <c r="E144">
        <v>689</v>
      </c>
      <c r="F144" s="33">
        <v>1278</v>
      </c>
      <c r="G144">
        <v>697</v>
      </c>
      <c r="H144">
        <v>358</v>
      </c>
      <c r="I144" s="401"/>
      <c r="J144" s="398" t="s">
        <v>620</v>
      </c>
      <c r="K144" s="389">
        <v>244.087</v>
      </c>
      <c r="L144" s="274">
        <f t="shared" si="2"/>
        <v>0.08699999999998909</v>
      </c>
    </row>
    <row r="145" spans="1:12" ht="12.75">
      <c r="A145" s="53" t="s">
        <v>78</v>
      </c>
      <c r="B145" s="100" t="s">
        <v>278</v>
      </c>
      <c r="C145" s="100">
        <v>0</v>
      </c>
      <c r="D145">
        <v>0</v>
      </c>
      <c r="E145">
        <v>0</v>
      </c>
      <c r="F145" s="33">
        <v>0</v>
      </c>
      <c r="G145">
        <v>0</v>
      </c>
      <c r="H145">
        <v>0</v>
      </c>
      <c r="I145" s="401"/>
      <c r="K145" s="389">
        <v>0</v>
      </c>
      <c r="L145" s="274">
        <f t="shared" si="2"/>
        <v>0</v>
      </c>
    </row>
    <row r="146" spans="6:12" ht="12.75">
      <c r="F146" s="33"/>
      <c r="I146" s="401"/>
      <c r="K146" s="390"/>
      <c r="L146" s="274">
        <f t="shared" si="2"/>
        <v>0</v>
      </c>
    </row>
    <row r="147" spans="1:12" ht="12.75">
      <c r="A147" s="95" t="s">
        <v>251</v>
      </c>
      <c r="F147" s="33"/>
      <c r="I147" s="401"/>
      <c r="K147" s="390"/>
      <c r="L147" s="274">
        <f t="shared" si="2"/>
        <v>0</v>
      </c>
    </row>
    <row r="148" spans="1:12" ht="12.75">
      <c r="B148" s="99" t="s">
        <v>436</v>
      </c>
      <c r="C148" s="18">
        <v>0.6</v>
      </c>
      <c r="D148" s="281">
        <v>0.6</v>
      </c>
      <c r="E148" s="281">
        <v>0.6</v>
      </c>
      <c r="F148" s="281">
        <v>0.6</v>
      </c>
      <c r="G148">
        <v>0.6</v>
      </c>
      <c r="H148">
        <v>0.6</v>
      </c>
      <c r="I148" s="401"/>
      <c r="K148" s="391">
        <v>0.6</v>
      </c>
      <c r="L148" s="274">
        <f t="shared" si="2"/>
        <v>0</v>
      </c>
    </row>
    <row r="149" spans="1:12" ht="12.75">
      <c r="B149" s="99" t="s">
        <v>437</v>
      </c>
      <c r="C149" s="18">
        <v>0.75</v>
      </c>
      <c r="D149" s="281">
        <v>0.75</v>
      </c>
      <c r="E149" s="281">
        <v>0.75</v>
      </c>
      <c r="F149" s="281">
        <v>0.75</v>
      </c>
      <c r="G149">
        <v>0.75</v>
      </c>
      <c r="H149">
        <v>0.75</v>
      </c>
      <c r="I149" s="401"/>
      <c r="K149" s="391">
        <v>0.75</v>
      </c>
      <c r="L149" s="274">
        <f t="shared" si="2"/>
        <v>0</v>
      </c>
    </row>
    <row r="150" spans="1:12" ht="12.75">
      <c r="B150" s="99" t="s">
        <v>438</v>
      </c>
      <c r="C150" s="18">
        <v>0.5</v>
      </c>
      <c r="D150" s="281">
        <v>0.5</v>
      </c>
      <c r="E150" s="281">
        <v>0.5</v>
      </c>
      <c r="F150" s="281">
        <v>0.5</v>
      </c>
      <c r="G150">
        <v>0.5</v>
      </c>
      <c r="H150">
        <v>0.5</v>
      </c>
      <c r="I150" s="401"/>
      <c r="K150" s="391">
        <v>0.5</v>
      </c>
      <c r="L150" s="274">
        <f t="shared" si="2"/>
        <v>0</v>
      </c>
    </row>
    <row r="151" spans="6:12" ht="12.75">
      <c r="F151" s="33"/>
      <c r="I151" s="401"/>
      <c r="K151" s="390"/>
      <c r="L151" s="274">
        <f t="shared" si="2"/>
        <v>0</v>
      </c>
    </row>
    <row r="152" spans="1:12" ht="12.75">
      <c r="A152" s="95" t="s">
        <v>433</v>
      </c>
      <c r="B152" s="14"/>
      <c r="C152" s="14"/>
      <c r="F152" s="33"/>
      <c r="I152" s="401"/>
      <c r="K152" s="390"/>
      <c r="L152" s="274">
        <f t="shared" si="2"/>
        <v>0</v>
      </c>
    </row>
    <row r="153" spans="1:12" ht="12.75">
      <c r="A153" s="53" t="s">
        <v>77</v>
      </c>
      <c r="B153" s="100" t="s">
        <v>252</v>
      </c>
      <c r="C153" s="100">
        <v>38</v>
      </c>
      <c r="D153">
        <v>0</v>
      </c>
      <c r="E153">
        <v>46.16333333333334</v>
      </c>
      <c r="F153" s="33">
        <v>43</v>
      </c>
      <c r="G153">
        <v>50</v>
      </c>
      <c r="H153">
        <v>38</v>
      </c>
      <c r="I153" s="401"/>
      <c r="K153" s="389">
        <v>38</v>
      </c>
      <c r="L153" s="274">
        <f t="shared" si="2"/>
        <v>0</v>
      </c>
    </row>
    <row r="154" spans="1:12" ht="12.75">
      <c r="A154" t="s">
        <v>79</v>
      </c>
      <c r="B154" s="101" t="s">
        <v>252</v>
      </c>
      <c r="C154" s="101">
        <v>0</v>
      </c>
      <c r="D154">
        <v>0</v>
      </c>
      <c r="E154">
        <v>0</v>
      </c>
      <c r="F154" s="33">
        <v>0</v>
      </c>
      <c r="G154">
        <v>0</v>
      </c>
      <c r="H154">
        <v>0</v>
      </c>
      <c r="I154" s="401"/>
      <c r="K154" s="389">
        <v>0</v>
      </c>
      <c r="L154" s="274">
        <f t="shared" si="2"/>
        <v>0</v>
      </c>
    </row>
    <row r="155" spans="1:12" ht="12.75">
      <c r="B155" s="101" t="s">
        <v>254</v>
      </c>
      <c r="C155" s="101">
        <v>14</v>
      </c>
      <c r="D155">
        <v>0</v>
      </c>
      <c r="E155">
        <v>40.5</v>
      </c>
      <c r="F155" s="33">
        <v>40.5</v>
      </c>
      <c r="G155">
        <v>46.21</v>
      </c>
      <c r="H155">
        <v>18</v>
      </c>
      <c r="I155" s="402"/>
      <c r="K155" s="389">
        <v>14</v>
      </c>
      <c r="L155" s="274">
        <f t="shared" si="2"/>
        <v>0</v>
      </c>
    </row>
    <row r="156" spans="1:12" ht="12.75">
      <c r="B156" s="101" t="s">
        <v>253</v>
      </c>
      <c r="C156" s="101">
        <v>0</v>
      </c>
      <c r="D156">
        <v>0</v>
      </c>
      <c r="E156" s="17">
        <v>0</v>
      </c>
      <c r="F156" s="317">
        <v>0</v>
      </c>
      <c r="G156" s="17">
        <v>0</v>
      </c>
      <c r="H156">
        <v>0</v>
      </c>
      <c r="I156" s="402"/>
      <c r="K156" s="389">
        <v>0</v>
      </c>
      <c r="L156" s="274">
        <f t="shared" si="2"/>
        <v>0</v>
      </c>
    </row>
    <row r="157" spans="1:12" ht="12.75">
      <c r="A157" s="53" t="s">
        <v>80</v>
      </c>
      <c r="B157" s="100" t="s">
        <v>252</v>
      </c>
      <c r="C157" s="100">
        <v>0</v>
      </c>
      <c r="D157">
        <v>0</v>
      </c>
      <c r="E157" s="17">
        <v>0</v>
      </c>
      <c r="F157" s="317">
        <v>0</v>
      </c>
      <c r="G157" s="17">
        <v>0</v>
      </c>
      <c r="H157">
        <v>0</v>
      </c>
      <c r="I157" s="402"/>
      <c r="K157" s="389">
        <v>0</v>
      </c>
      <c r="L157" s="274">
        <f t="shared" si="2"/>
        <v>0</v>
      </c>
    </row>
    <row r="158" spans="1:12" ht="12.75">
      <c r="A158" s="53"/>
      <c r="B158" s="100" t="s">
        <v>253</v>
      </c>
      <c r="C158" s="100">
        <v>15</v>
      </c>
      <c r="D158">
        <v>0</v>
      </c>
      <c r="E158" s="17">
        <v>21.7</v>
      </c>
      <c r="F158" s="317">
        <v>21</v>
      </c>
      <c r="G158" s="17">
        <v>0</v>
      </c>
      <c r="H158">
        <v>18.4</v>
      </c>
      <c r="I158" s="402"/>
      <c r="J158" s="398" t="s">
        <v>620</v>
      </c>
      <c r="K158" s="392">
        <v>15.315798862388073</v>
      </c>
      <c r="L158" s="274">
        <f t="shared" si="2"/>
        <v>0.315798862388073</v>
      </c>
    </row>
    <row r="159" spans="1:12" ht="12.75">
      <c r="A159" t="s">
        <v>81</v>
      </c>
      <c r="B159" s="101" t="s">
        <v>253</v>
      </c>
      <c r="C159" s="101">
        <v>46</v>
      </c>
      <c r="D159">
        <v>0</v>
      </c>
      <c r="E159" s="17">
        <v>64</v>
      </c>
      <c r="F159" s="317">
        <v>82</v>
      </c>
      <c r="G159" s="17">
        <v>79.35</v>
      </c>
      <c r="H159">
        <v>55</v>
      </c>
      <c r="I159" s="402"/>
      <c r="J159" s="398" t="s">
        <v>620</v>
      </c>
      <c r="K159" s="392">
        <v>45.780533647580576</v>
      </c>
      <c r="L159" s="274">
        <f t="shared" si="2"/>
        <v>-0.21946635241942403</v>
      </c>
    </row>
    <row r="160" spans="1:12" ht="12.75">
      <c r="A160" s="53" t="s">
        <v>226</v>
      </c>
      <c r="B160" s="100" t="s">
        <v>252</v>
      </c>
      <c r="C160" s="100">
        <v>0</v>
      </c>
      <c r="D160">
        <v>0</v>
      </c>
      <c r="E160" s="17">
        <v>0</v>
      </c>
      <c r="F160" s="317">
        <v>0</v>
      </c>
      <c r="G160" s="17">
        <v>0</v>
      </c>
      <c r="H160">
        <v>0</v>
      </c>
      <c r="I160" s="402"/>
      <c r="K160" s="389">
        <v>0</v>
      </c>
      <c r="L160" s="274">
        <f t="shared" si="2"/>
        <v>0</v>
      </c>
    </row>
    <row r="161" spans="1:12" ht="12.75">
      <c r="A161" s="53" t="s">
        <v>78</v>
      </c>
      <c r="B161" s="100" t="s">
        <v>254</v>
      </c>
      <c r="C161" s="100">
        <v>121</v>
      </c>
      <c r="D161">
        <v>0</v>
      </c>
      <c r="E161" s="17">
        <v>284.5</v>
      </c>
      <c r="F161" s="317">
        <v>284.5</v>
      </c>
      <c r="G161" s="17">
        <v>324.86</v>
      </c>
      <c r="H161">
        <v>144</v>
      </c>
      <c r="I161" s="402"/>
      <c r="K161" s="389">
        <v>121</v>
      </c>
      <c r="L161" s="274">
        <f t="shared" si="2"/>
        <v>0</v>
      </c>
    </row>
    <row r="162" spans="1:12" ht="12.75">
      <c r="A162" s="53" t="s">
        <v>78</v>
      </c>
      <c r="B162" s="100" t="s">
        <v>253</v>
      </c>
      <c r="C162" s="100">
        <v>0</v>
      </c>
      <c r="D162">
        <v>0</v>
      </c>
      <c r="E162" s="17">
        <v>0</v>
      </c>
      <c r="F162" s="317">
        <v>0</v>
      </c>
      <c r="G162" s="17">
        <v>0</v>
      </c>
      <c r="H162">
        <v>0</v>
      </c>
      <c r="I162" s="401"/>
      <c r="K162" s="389">
        <v>0</v>
      </c>
      <c r="L162" s="274">
        <f t="shared" si="2"/>
        <v>0</v>
      </c>
    </row>
    <row r="163" spans="1:12" ht="12.75">
      <c r="A163" t="s">
        <v>82</v>
      </c>
      <c r="B163" s="101" t="s">
        <v>253</v>
      </c>
      <c r="C163" s="101">
        <v>126</v>
      </c>
      <c r="D163">
        <v>0</v>
      </c>
      <c r="E163" s="17">
        <v>244.1</v>
      </c>
      <c r="F163" s="317">
        <v>134.8</v>
      </c>
      <c r="G163" s="17">
        <v>20.69</v>
      </c>
      <c r="H163">
        <v>152</v>
      </c>
      <c r="I163" s="401"/>
      <c r="J163" s="398" t="s">
        <v>620</v>
      </c>
      <c r="K163" s="392">
        <v>126.00768731959309</v>
      </c>
      <c r="L163" s="274">
        <f t="shared" si="2"/>
        <v>0.0076873195930886595</v>
      </c>
    </row>
    <row r="164" spans="1:12" ht="12.75">
      <c r="A164" s="53" t="s">
        <v>83</v>
      </c>
      <c r="B164" s="100" t="s">
        <v>254</v>
      </c>
      <c r="C164" s="100">
        <v>11</v>
      </c>
      <c r="D164">
        <v>0</v>
      </c>
      <c r="E164" s="17">
        <v>6.6</v>
      </c>
      <c r="F164" s="317">
        <v>6.6</v>
      </c>
      <c r="G164" s="17">
        <v>11.47</v>
      </c>
      <c r="H164">
        <v>13</v>
      </c>
      <c r="I164" s="401"/>
      <c r="K164" s="389">
        <v>11</v>
      </c>
      <c r="L164" s="274">
        <f t="shared" si="2"/>
        <v>0</v>
      </c>
    </row>
    <row r="165" spans="1:12" ht="12.75">
      <c r="A165" s="53" t="s">
        <v>78</v>
      </c>
      <c r="B165" s="100" t="s">
        <v>253</v>
      </c>
      <c r="C165" s="100">
        <v>3</v>
      </c>
      <c r="D165">
        <v>0</v>
      </c>
      <c r="E165" s="17">
        <v>8.2</v>
      </c>
      <c r="F165" s="317">
        <v>1.8</v>
      </c>
      <c r="G165" s="17">
        <v>0</v>
      </c>
      <c r="H165">
        <v>5</v>
      </c>
      <c r="I165" s="401"/>
      <c r="J165" s="398" t="s">
        <v>620</v>
      </c>
      <c r="K165" s="392">
        <v>2.752432145923709</v>
      </c>
      <c r="L165" s="274">
        <f t="shared" si="2"/>
        <v>-0.24756785407629112</v>
      </c>
    </row>
    <row r="166" spans="1:12" ht="12.75">
      <c r="A166" t="s">
        <v>84</v>
      </c>
      <c r="B166" s="101" t="s">
        <v>253</v>
      </c>
      <c r="C166" s="101">
        <v>40</v>
      </c>
      <c r="D166">
        <v>0</v>
      </c>
      <c r="E166" s="17">
        <v>155.4</v>
      </c>
      <c r="F166" s="317">
        <v>181.9</v>
      </c>
      <c r="G166" s="17">
        <v>22.89</v>
      </c>
      <c r="H166">
        <v>75</v>
      </c>
      <c r="I166" s="401"/>
      <c r="J166" s="398" t="s">
        <v>620</v>
      </c>
      <c r="K166" s="392">
        <v>40.22275671813168</v>
      </c>
      <c r="L166" s="274">
        <f t="shared" si="2"/>
        <v>0.2227567181316772</v>
      </c>
    </row>
    <row r="167" spans="1:12" ht="12.75">
      <c r="A167" s="53" t="s">
        <v>85</v>
      </c>
      <c r="B167" s="100" t="s">
        <v>253</v>
      </c>
      <c r="C167" s="100">
        <v>155</v>
      </c>
      <c r="D167">
        <v>0</v>
      </c>
      <c r="E167" s="17">
        <v>233.2</v>
      </c>
      <c r="F167" s="317">
        <v>292.3</v>
      </c>
      <c r="G167" s="17">
        <v>139.08</v>
      </c>
      <c r="H167">
        <v>251</v>
      </c>
      <c r="I167" s="401"/>
      <c r="J167" s="398" t="s">
        <v>620</v>
      </c>
      <c r="K167" s="392">
        <v>154.53995172468333</v>
      </c>
      <c r="L167" s="274">
        <f t="shared" si="2"/>
        <v>-0.4600482753166659</v>
      </c>
    </row>
    <row r="168" spans="1:12" ht="12.75">
      <c r="A168" s="53"/>
      <c r="B168" s="100" t="s">
        <v>434</v>
      </c>
      <c r="C168" s="100">
        <v>5</v>
      </c>
      <c r="D168">
        <v>0</v>
      </c>
      <c r="E168" s="17">
        <v>3.6</v>
      </c>
      <c r="F168" s="317">
        <v>7.2</v>
      </c>
      <c r="G168" s="17">
        <v>0</v>
      </c>
      <c r="H168">
        <v>6</v>
      </c>
      <c r="I168" s="401"/>
      <c r="J168" s="398" t="s">
        <v>620</v>
      </c>
      <c r="K168" s="392">
        <v>4.553990120065299</v>
      </c>
      <c r="L168" s="274">
        <f t="shared" si="2"/>
        <v>-0.4460098799347012</v>
      </c>
    </row>
    <row r="169" spans="1:12" ht="12.75">
      <c r="A169" t="s">
        <v>86</v>
      </c>
      <c r="B169" s="101" t="s">
        <v>252</v>
      </c>
      <c r="C169" s="101">
        <v>0</v>
      </c>
      <c r="D169">
        <v>0</v>
      </c>
      <c r="E169" s="17">
        <v>0</v>
      </c>
      <c r="F169" s="317">
        <v>0</v>
      </c>
      <c r="G169" s="17">
        <v>0</v>
      </c>
      <c r="H169">
        <v>0</v>
      </c>
      <c r="I169" s="401"/>
      <c r="K169" s="389">
        <v>0</v>
      </c>
      <c r="L169" s="274">
        <f t="shared" si="2"/>
        <v>0</v>
      </c>
    </row>
    <row r="170" spans="1:12" ht="12.75">
      <c r="B170" s="101" t="s">
        <v>254</v>
      </c>
      <c r="C170" s="101">
        <v>260</v>
      </c>
      <c r="D170">
        <v>0</v>
      </c>
      <c r="E170" s="17">
        <v>134.7</v>
      </c>
      <c r="F170" s="317">
        <v>134.7</v>
      </c>
      <c r="G170" s="17">
        <v>233.61</v>
      </c>
      <c r="H170">
        <v>254</v>
      </c>
      <c r="I170" s="401"/>
      <c r="K170" s="389">
        <v>260</v>
      </c>
      <c r="L170" s="274">
        <f t="shared" si="2"/>
        <v>0</v>
      </c>
    </row>
    <row r="171" spans="1:12" ht="12.75">
      <c r="B171" s="101" t="s">
        <v>253</v>
      </c>
      <c r="C171" s="101">
        <v>47</v>
      </c>
      <c r="D171">
        <v>0</v>
      </c>
      <c r="E171" s="17">
        <v>23.4</v>
      </c>
      <c r="F171" s="317">
        <v>50.7</v>
      </c>
      <c r="G171" s="17">
        <v>22.51</v>
      </c>
      <c r="H171">
        <v>59</v>
      </c>
      <c r="I171" s="401"/>
      <c r="J171" s="398" t="s">
        <v>620</v>
      </c>
      <c r="K171" s="392">
        <v>46.78451161243084</v>
      </c>
      <c r="L171" s="274">
        <f t="shared" si="2"/>
        <v>-0.21548838756915956</v>
      </c>
    </row>
    <row r="172" spans="2:12" ht="12.75">
      <c r="B172" s="101" t="s">
        <v>434</v>
      </c>
      <c r="C172" s="101">
        <v>0</v>
      </c>
      <c r="D172">
        <v>0</v>
      </c>
      <c r="E172" s="17">
        <v>0</v>
      </c>
      <c r="F172" s="317">
        <v>0</v>
      </c>
      <c r="G172" s="17">
        <v>0</v>
      </c>
      <c r="H172">
        <v>0</v>
      </c>
      <c r="I172" s="401"/>
      <c r="K172" s="389">
        <v>0</v>
      </c>
      <c r="L172" s="274">
        <f t="shared" si="2"/>
        <v>0</v>
      </c>
    </row>
    <row r="173" spans="1:12" ht="12.75">
      <c r="A173" s="53" t="s">
        <v>87</v>
      </c>
      <c r="B173" s="100" t="s">
        <v>254</v>
      </c>
      <c r="C173" s="100">
        <v>279</v>
      </c>
      <c r="D173">
        <v>0</v>
      </c>
      <c r="E173" s="17">
        <v>278.3</v>
      </c>
      <c r="F173" s="317">
        <v>278.3</v>
      </c>
      <c r="G173" s="17">
        <v>482.68</v>
      </c>
      <c r="H173">
        <v>351</v>
      </c>
      <c r="I173" s="401"/>
      <c r="K173" s="389">
        <v>279</v>
      </c>
      <c r="L173" s="274">
        <f t="shared" si="2"/>
        <v>0</v>
      </c>
    </row>
    <row r="174" spans="1:12" ht="12.75">
      <c r="A174" s="53" t="s">
        <v>78</v>
      </c>
      <c r="B174" s="100" t="s">
        <v>253</v>
      </c>
      <c r="C174" s="100">
        <v>28</v>
      </c>
      <c r="D174">
        <v>0</v>
      </c>
      <c r="E174" s="17">
        <v>22.3</v>
      </c>
      <c r="F174" s="317">
        <v>42.8</v>
      </c>
      <c r="G174" s="17">
        <v>21.56</v>
      </c>
      <c r="H174">
        <v>32</v>
      </c>
      <c r="I174" s="401"/>
      <c r="J174" s="398" t="s">
        <v>620</v>
      </c>
      <c r="K174" s="392">
        <v>27.627111857749465</v>
      </c>
      <c r="L174" s="274">
        <f t="shared" si="2"/>
        <v>-0.37288814225053457</v>
      </c>
    </row>
    <row r="175" spans="1:12" ht="12.75">
      <c r="A175" s="53"/>
      <c r="B175" s="100" t="s">
        <v>434</v>
      </c>
      <c r="C175" s="100">
        <v>2</v>
      </c>
      <c r="D175">
        <v>0</v>
      </c>
      <c r="E175" s="17">
        <v>7.3</v>
      </c>
      <c r="F175" s="317">
        <v>5.2</v>
      </c>
      <c r="G175" s="17">
        <v>1.01</v>
      </c>
      <c r="H175">
        <v>3</v>
      </c>
      <c r="I175" s="401"/>
      <c r="J175" s="398" t="s">
        <v>620</v>
      </c>
      <c r="K175" s="392">
        <v>2.3710812006562496</v>
      </c>
      <c r="L175" s="274">
        <f t="shared" si="2"/>
        <v>0.3710812006562496</v>
      </c>
    </row>
    <row r="176" spans="1:12" ht="12.75">
      <c r="A176" t="s">
        <v>88</v>
      </c>
      <c r="B176" s="101" t="s">
        <v>254</v>
      </c>
      <c r="C176" s="101">
        <v>114</v>
      </c>
      <c r="D176">
        <v>0</v>
      </c>
      <c r="E176" s="17">
        <v>371.1</v>
      </c>
      <c r="F176" s="317">
        <v>371.1</v>
      </c>
      <c r="G176" s="17">
        <v>333.4</v>
      </c>
      <c r="H176">
        <v>260</v>
      </c>
      <c r="I176" s="401"/>
      <c r="K176" s="389">
        <v>114</v>
      </c>
      <c r="L176" s="274">
        <f t="shared" si="2"/>
        <v>0</v>
      </c>
    </row>
    <row r="177" spans="1:12" s="17" customFormat="1" ht="12.75">
      <c r="A177" t="s">
        <v>78</v>
      </c>
      <c r="B177" s="101" t="s">
        <v>253</v>
      </c>
      <c r="C177" s="101">
        <v>39</v>
      </c>
      <c r="D177">
        <v>0</v>
      </c>
      <c r="E177" s="17">
        <v>17.4</v>
      </c>
      <c r="F177" s="317">
        <v>21.2</v>
      </c>
      <c r="G177" s="17">
        <v>10.88</v>
      </c>
      <c r="H177" s="17">
        <v>44</v>
      </c>
      <c r="I177" s="401"/>
      <c r="J177" s="400" t="s">
        <v>620</v>
      </c>
      <c r="K177" s="392">
        <v>39.44275413434375</v>
      </c>
      <c r="L177" s="274">
        <f t="shared" si="2"/>
        <v>0.4427541343437511</v>
      </c>
    </row>
    <row r="178" spans="1:12" ht="12.75">
      <c r="A178" s="53" t="s">
        <v>89</v>
      </c>
      <c r="B178" s="100" t="s">
        <v>254</v>
      </c>
      <c r="C178" s="100">
        <v>84</v>
      </c>
      <c r="D178">
        <v>0</v>
      </c>
      <c r="E178">
        <v>147.9</v>
      </c>
      <c r="F178" s="33">
        <v>147.9</v>
      </c>
      <c r="G178">
        <v>122.42</v>
      </c>
      <c r="H178">
        <v>84</v>
      </c>
      <c r="I178" s="401"/>
      <c r="K178" s="389">
        <v>84</v>
      </c>
      <c r="L178" s="274">
        <f t="shared" si="2"/>
        <v>0</v>
      </c>
    </row>
    <row r="179" spans="1:12" ht="12.75">
      <c r="A179" s="53"/>
      <c r="B179" s="288" t="s">
        <v>526</v>
      </c>
      <c r="C179" s="288">
        <v>1287</v>
      </c>
      <c r="D179">
        <v>0</v>
      </c>
      <c r="E179">
        <v>2331.2</v>
      </c>
      <c r="F179" s="33">
        <v>1891</v>
      </c>
      <c r="G179">
        <v>830</v>
      </c>
      <c r="H179" s="33">
        <v>1525</v>
      </c>
      <c r="I179" s="401"/>
      <c r="J179" s="398" t="s">
        <v>620</v>
      </c>
      <c r="K179" s="392">
        <v>1287.0016027156682</v>
      </c>
      <c r="L179" s="274">
        <f t="shared" si="2"/>
        <v>0.001602715668241217</v>
      </c>
    </row>
    <row r="180" spans="1:12" ht="12.75">
      <c r="A180" s="53" t="s">
        <v>78</v>
      </c>
      <c r="B180" s="288" t="s">
        <v>527</v>
      </c>
      <c r="C180" s="288">
        <v>147</v>
      </c>
      <c r="D180">
        <v>0</v>
      </c>
      <c r="E180">
        <v>340</v>
      </c>
      <c r="F180" s="33">
        <v>137</v>
      </c>
      <c r="G180">
        <v>115</v>
      </c>
      <c r="H180">
        <v>163</v>
      </c>
      <c r="I180" s="401"/>
      <c r="J180" s="398" t="s">
        <v>620</v>
      </c>
      <c r="K180" s="389">
        <v>147.33188550575414</v>
      </c>
      <c r="L180" s="274">
        <f t="shared" si="2"/>
        <v>0.3318855057541441</v>
      </c>
    </row>
    <row r="181" spans="1:12" ht="12.75">
      <c r="F181" s="33"/>
      <c r="I181" s="401"/>
      <c r="K181" s="389"/>
      <c r="L181" s="274">
        <f t="shared" si="2"/>
        <v>0</v>
      </c>
    </row>
    <row r="182" spans="1:12" ht="12.75">
      <c r="A182" s="5" t="s">
        <v>94</v>
      </c>
      <c r="B182" s="14" t="s">
        <v>78</v>
      </c>
      <c r="C182" s="14"/>
      <c r="F182" s="33"/>
      <c r="I182" s="401"/>
      <c r="K182" s="389"/>
      <c r="L182" s="274">
        <f t="shared" si="2"/>
        <v>0</v>
      </c>
    </row>
    <row r="183" spans="1:12" ht="12.75">
      <c r="A183" s="53" t="s">
        <v>77</v>
      </c>
      <c r="B183" s="55" t="s">
        <v>95</v>
      </c>
      <c r="C183" s="403">
        <f aca="true" t="shared" si="3" ref="C183:C196">K183</f>
        <v>21636</v>
      </c>
      <c r="D183">
        <v>17700</v>
      </c>
      <c r="E183">
        <v>19759</v>
      </c>
      <c r="F183" s="33">
        <v>21060</v>
      </c>
      <c r="G183">
        <v>17608</v>
      </c>
      <c r="H183">
        <v>20565.5</v>
      </c>
      <c r="I183" s="401"/>
      <c r="J183" s="398" t="s">
        <v>620</v>
      </c>
      <c r="K183" s="389">
        <v>21636</v>
      </c>
      <c r="L183" s="274">
        <f t="shared" si="2"/>
        <v>0</v>
      </c>
    </row>
    <row r="184" spans="1:12" ht="12.75">
      <c r="A184" t="s">
        <v>79</v>
      </c>
      <c r="B184" s="6" t="s">
        <v>96</v>
      </c>
      <c r="C184" s="404">
        <f t="shared" si="3"/>
        <v>1567.8</v>
      </c>
      <c r="D184">
        <v>1060</v>
      </c>
      <c r="E184">
        <v>341</v>
      </c>
      <c r="F184" s="33">
        <v>1151</v>
      </c>
      <c r="G184">
        <v>404</v>
      </c>
      <c r="H184">
        <v>1330.51</v>
      </c>
      <c r="I184" s="401"/>
      <c r="J184" s="398" t="s">
        <v>620</v>
      </c>
      <c r="K184" s="389">
        <v>1567.8</v>
      </c>
      <c r="L184" s="274">
        <f t="shared" si="2"/>
        <v>0</v>
      </c>
    </row>
    <row r="185" spans="1:12" ht="12.75">
      <c r="A185" s="53" t="s">
        <v>80</v>
      </c>
      <c r="B185" s="55" t="s">
        <v>97</v>
      </c>
      <c r="C185" s="403">
        <f t="shared" si="3"/>
        <v>2188</v>
      </c>
      <c r="D185">
        <v>2090</v>
      </c>
      <c r="E185">
        <v>2276</v>
      </c>
      <c r="F185" s="33">
        <v>2227</v>
      </c>
      <c r="G185">
        <v>1731</v>
      </c>
      <c r="H185">
        <v>2094.93</v>
      </c>
      <c r="I185" s="401"/>
      <c r="J185" s="398" t="s">
        <v>620</v>
      </c>
      <c r="K185" s="389">
        <v>2188</v>
      </c>
      <c r="L185" s="274">
        <f t="shared" si="2"/>
        <v>0</v>
      </c>
    </row>
    <row r="186" spans="1:12" ht="12.75">
      <c r="A186" t="s">
        <v>81</v>
      </c>
      <c r="B186" s="6" t="s">
        <v>98</v>
      </c>
      <c r="C186" s="404">
        <f t="shared" si="3"/>
        <v>4852</v>
      </c>
      <c r="D186">
        <v>4710</v>
      </c>
      <c r="E186">
        <v>5419</v>
      </c>
      <c r="F186" s="33">
        <v>5466</v>
      </c>
      <c r="G186">
        <v>5355</v>
      </c>
      <c r="H186">
        <v>5389.14</v>
      </c>
      <c r="I186" s="401"/>
      <c r="J186" s="398" t="s">
        <v>620</v>
      </c>
      <c r="K186" s="389">
        <v>4852</v>
      </c>
      <c r="L186" s="274">
        <f t="shared" si="2"/>
        <v>0</v>
      </c>
    </row>
    <row r="187" spans="1:12" ht="12.75">
      <c r="A187" s="53" t="s">
        <v>226</v>
      </c>
      <c r="B187" s="55" t="s">
        <v>99</v>
      </c>
      <c r="C187" s="403">
        <f t="shared" si="3"/>
        <v>1424</v>
      </c>
      <c r="D187">
        <v>905.35872</v>
      </c>
      <c r="E187">
        <v>0</v>
      </c>
      <c r="F187" s="33">
        <v>0</v>
      </c>
      <c r="G187">
        <v>0</v>
      </c>
      <c r="H187">
        <v>673.945</v>
      </c>
      <c r="I187" s="401"/>
      <c r="J187" s="398" t="s">
        <v>620</v>
      </c>
      <c r="K187" s="389">
        <v>1424</v>
      </c>
      <c r="L187" s="274">
        <f t="shared" si="2"/>
        <v>0</v>
      </c>
    </row>
    <row r="188" spans="1:12" ht="12.75">
      <c r="A188" t="s">
        <v>82</v>
      </c>
      <c r="B188" s="6" t="s">
        <v>100</v>
      </c>
      <c r="C188" s="404">
        <f t="shared" si="3"/>
        <v>33220</v>
      </c>
      <c r="D188">
        <v>13360</v>
      </c>
      <c r="E188">
        <v>19926</v>
      </c>
      <c r="F188" s="33">
        <v>23235</v>
      </c>
      <c r="G188">
        <v>22606</v>
      </c>
      <c r="H188">
        <v>44675.7</v>
      </c>
      <c r="I188" s="401"/>
      <c r="J188" s="398" t="s">
        <v>620</v>
      </c>
      <c r="K188" s="389">
        <v>33220</v>
      </c>
      <c r="L188" s="274">
        <f t="shared" si="2"/>
        <v>0</v>
      </c>
    </row>
    <row r="189" spans="1:12" ht="12.75">
      <c r="A189" s="53" t="s">
        <v>83</v>
      </c>
      <c r="B189" s="55" t="s">
        <v>249</v>
      </c>
      <c r="C189" s="403">
        <f t="shared" si="3"/>
        <v>2539</v>
      </c>
      <c r="D189">
        <v>1100</v>
      </c>
      <c r="E189">
        <v>1201</v>
      </c>
      <c r="F189" s="33">
        <v>1911</v>
      </c>
      <c r="G189">
        <v>1714</v>
      </c>
      <c r="H189">
        <v>4311.31</v>
      </c>
      <c r="I189" s="401"/>
      <c r="J189" s="398" t="s">
        <v>620</v>
      </c>
      <c r="K189" s="389">
        <v>2539</v>
      </c>
      <c r="L189" s="274">
        <f t="shared" si="2"/>
        <v>0</v>
      </c>
    </row>
    <row r="190" spans="1:12" ht="12.75">
      <c r="A190" t="s">
        <v>84</v>
      </c>
      <c r="B190" s="6" t="s">
        <v>101</v>
      </c>
      <c r="C190" s="404">
        <f t="shared" si="3"/>
        <v>12419</v>
      </c>
      <c r="D190">
        <v>3970</v>
      </c>
      <c r="E190">
        <v>3555</v>
      </c>
      <c r="F190" s="33">
        <v>3791</v>
      </c>
      <c r="G190">
        <v>10018</v>
      </c>
      <c r="H190">
        <v>6618.43</v>
      </c>
      <c r="I190" s="401"/>
      <c r="J190" s="398" t="s">
        <v>620</v>
      </c>
      <c r="K190" s="389">
        <v>12419</v>
      </c>
      <c r="L190" s="274">
        <f t="shared" si="2"/>
        <v>0</v>
      </c>
    </row>
    <row r="191" spans="1:12" ht="12.75">
      <c r="A191" s="53" t="s">
        <v>85</v>
      </c>
      <c r="B191" s="55" t="s">
        <v>102</v>
      </c>
      <c r="C191" s="403">
        <f t="shared" si="3"/>
        <v>65915</v>
      </c>
      <c r="D191">
        <v>19850</v>
      </c>
      <c r="E191">
        <v>23300</v>
      </c>
      <c r="F191" s="33">
        <v>19992</v>
      </c>
      <c r="G191">
        <v>22648</v>
      </c>
      <c r="H191">
        <v>50356</v>
      </c>
      <c r="I191" s="401"/>
      <c r="J191" s="398" t="s">
        <v>620</v>
      </c>
      <c r="K191" s="389">
        <v>65915</v>
      </c>
      <c r="L191" s="274">
        <f t="shared" si="2"/>
        <v>0</v>
      </c>
    </row>
    <row r="192" spans="1:12" ht="12.75">
      <c r="A192" t="s">
        <v>86</v>
      </c>
      <c r="B192" s="6" t="s">
        <v>103</v>
      </c>
      <c r="C192" s="404">
        <f t="shared" si="3"/>
        <v>1218</v>
      </c>
      <c r="D192">
        <v>220</v>
      </c>
      <c r="E192">
        <v>163</v>
      </c>
      <c r="F192" s="33">
        <v>173</v>
      </c>
      <c r="G192">
        <v>303</v>
      </c>
      <c r="H192">
        <v>1227</v>
      </c>
      <c r="I192" s="401"/>
      <c r="J192" s="398" t="s">
        <v>620</v>
      </c>
      <c r="K192" s="389">
        <v>1218</v>
      </c>
      <c r="L192" s="274">
        <f t="shared" si="2"/>
        <v>0</v>
      </c>
    </row>
    <row r="193" spans="1:12" ht="12.75">
      <c r="A193" s="53" t="s">
        <v>87</v>
      </c>
      <c r="B193" s="55" t="s">
        <v>104</v>
      </c>
      <c r="C193" s="403">
        <f t="shared" si="3"/>
        <v>7751</v>
      </c>
      <c r="D193">
        <v>179.11552</v>
      </c>
      <c r="E193">
        <v>84</v>
      </c>
      <c r="F193" s="33">
        <v>262</v>
      </c>
      <c r="G193">
        <v>0</v>
      </c>
      <c r="H193">
        <v>4451.06</v>
      </c>
      <c r="I193" s="401"/>
      <c r="J193" s="398" t="s">
        <v>620</v>
      </c>
      <c r="K193" s="389">
        <v>7751</v>
      </c>
      <c r="L193" s="274">
        <f t="shared" si="2"/>
        <v>0</v>
      </c>
    </row>
    <row r="194" spans="1:12" ht="12.75">
      <c r="A194" t="s">
        <v>88</v>
      </c>
      <c r="B194" s="6" t="s">
        <v>105</v>
      </c>
      <c r="C194" s="404">
        <f t="shared" si="3"/>
        <v>7506</v>
      </c>
      <c r="D194">
        <v>1087.4502400000001</v>
      </c>
      <c r="E194">
        <v>147</v>
      </c>
      <c r="F194" s="33">
        <v>3436</v>
      </c>
      <c r="G194">
        <v>153</v>
      </c>
      <c r="H194">
        <v>5458.3</v>
      </c>
      <c r="I194" s="401"/>
      <c r="J194" s="398" t="s">
        <v>620</v>
      </c>
      <c r="K194" s="389">
        <v>7506</v>
      </c>
      <c r="L194" s="274">
        <f t="shared" si="2"/>
        <v>0</v>
      </c>
    </row>
    <row r="195" spans="1:12" ht="12.75">
      <c r="A195" s="53" t="s">
        <v>89</v>
      </c>
      <c r="B195" s="55" t="s">
        <v>106</v>
      </c>
      <c r="C195" s="403">
        <v>229146</v>
      </c>
      <c r="D195">
        <v>21345.527439999998</v>
      </c>
      <c r="E195">
        <v>15019</v>
      </c>
      <c r="F195" s="33">
        <v>1779</v>
      </c>
      <c r="G195">
        <v>2711</v>
      </c>
      <c r="H195">
        <v>60873</v>
      </c>
      <c r="I195" s="401"/>
      <c r="J195" s="398" t="s">
        <v>620</v>
      </c>
      <c r="K195" s="389">
        <v>240118</v>
      </c>
      <c r="L195" s="274">
        <f t="shared" si="2"/>
        <v>10972</v>
      </c>
    </row>
    <row r="196" spans="1:12" ht="12.75">
      <c r="A196" s="53" t="s">
        <v>78</v>
      </c>
      <c r="B196" s="55" t="s">
        <v>107</v>
      </c>
      <c r="C196" s="404">
        <f t="shared" si="3"/>
        <v>263181</v>
      </c>
      <c r="D196">
        <v>52394</v>
      </c>
      <c r="E196">
        <v>41964</v>
      </c>
      <c r="F196" s="33">
        <v>16980</v>
      </c>
      <c r="G196">
        <v>14089</v>
      </c>
      <c r="H196">
        <v>99384</v>
      </c>
      <c r="I196" s="401"/>
      <c r="J196" s="398" t="s">
        <v>620</v>
      </c>
      <c r="K196" s="389">
        <v>263181</v>
      </c>
      <c r="L196" s="274">
        <f t="shared" si="2"/>
        <v>0</v>
      </c>
    </row>
    <row r="197" spans="6:12" ht="12.75">
      <c r="F197" s="33"/>
      <c r="I197" s="401"/>
      <c r="K197" s="389"/>
      <c r="L197" s="274">
        <f aca="true" t="shared" si="4" ref="L197:L260">K197-C197</f>
        <v>0</v>
      </c>
    </row>
    <row r="198" spans="1:12" ht="12.75">
      <c r="A198" s="5" t="s">
        <v>108</v>
      </c>
      <c r="B198" s="14" t="s">
        <v>78</v>
      </c>
      <c r="C198" s="14"/>
      <c r="F198" s="33"/>
      <c r="I198" s="401"/>
      <c r="K198" s="389"/>
      <c r="L198" s="274">
        <f t="shared" si="4"/>
        <v>0</v>
      </c>
    </row>
    <row r="199" spans="1:12" ht="12.75">
      <c r="A199" s="53" t="s">
        <v>77</v>
      </c>
      <c r="B199" s="54" t="s">
        <v>109</v>
      </c>
      <c r="C199" s="403">
        <v>0</v>
      </c>
      <c r="D199">
        <v>0</v>
      </c>
      <c r="E199">
        <v>0</v>
      </c>
      <c r="F199" s="33">
        <v>0</v>
      </c>
      <c r="G199">
        <v>0</v>
      </c>
      <c r="H199">
        <v>0</v>
      </c>
      <c r="I199" s="401"/>
      <c r="J199" s="398" t="s">
        <v>620</v>
      </c>
      <c r="K199">
        <v>0</v>
      </c>
      <c r="L199" s="274">
        <f t="shared" si="4"/>
        <v>0</v>
      </c>
    </row>
    <row r="200" spans="1:12" ht="12.75">
      <c r="A200" t="s">
        <v>79</v>
      </c>
      <c r="B200" s="2" t="s">
        <v>110</v>
      </c>
      <c r="C200" s="404">
        <v>0</v>
      </c>
      <c r="D200">
        <v>0</v>
      </c>
      <c r="E200">
        <v>0</v>
      </c>
      <c r="F200" s="33">
        <v>0</v>
      </c>
      <c r="G200">
        <v>0</v>
      </c>
      <c r="H200">
        <v>0</v>
      </c>
      <c r="I200" s="401"/>
      <c r="J200" s="398" t="s">
        <v>620</v>
      </c>
      <c r="K200">
        <v>0</v>
      </c>
      <c r="L200" s="274">
        <f t="shared" si="4"/>
        <v>0</v>
      </c>
    </row>
    <row r="201" spans="1:12" ht="12.75">
      <c r="A201" s="53" t="s">
        <v>80</v>
      </c>
      <c r="B201" s="54" t="s">
        <v>111</v>
      </c>
      <c r="C201" s="403">
        <v>0</v>
      </c>
      <c r="D201">
        <v>0</v>
      </c>
      <c r="E201">
        <v>0</v>
      </c>
      <c r="F201" s="33">
        <v>0</v>
      </c>
      <c r="G201">
        <v>0</v>
      </c>
      <c r="H201">
        <v>0</v>
      </c>
      <c r="I201" s="401"/>
      <c r="J201" s="398" t="s">
        <v>620</v>
      </c>
      <c r="K201">
        <v>0</v>
      </c>
      <c r="L201" s="274">
        <f t="shared" si="4"/>
        <v>0</v>
      </c>
    </row>
    <row r="202" spans="1:12" ht="12.75">
      <c r="A202" t="s">
        <v>81</v>
      </c>
      <c r="B202" s="2" t="s">
        <v>112</v>
      </c>
      <c r="C202" s="404">
        <v>0</v>
      </c>
      <c r="D202">
        <v>0</v>
      </c>
      <c r="E202">
        <v>0</v>
      </c>
      <c r="F202" s="33">
        <v>0</v>
      </c>
      <c r="G202">
        <v>0</v>
      </c>
      <c r="H202">
        <v>0</v>
      </c>
      <c r="I202" s="401"/>
      <c r="J202" s="398" t="s">
        <v>620</v>
      </c>
      <c r="K202">
        <v>0</v>
      </c>
      <c r="L202" s="274">
        <f t="shared" si="4"/>
        <v>0</v>
      </c>
    </row>
    <row r="203" spans="1:12" ht="12.75">
      <c r="A203" s="53" t="s">
        <v>226</v>
      </c>
      <c r="B203" s="54" t="s">
        <v>113</v>
      </c>
      <c r="C203" s="403">
        <v>0</v>
      </c>
      <c r="D203">
        <v>0</v>
      </c>
      <c r="E203">
        <v>0</v>
      </c>
      <c r="F203" s="33">
        <v>0</v>
      </c>
      <c r="G203">
        <v>0</v>
      </c>
      <c r="H203">
        <v>0</v>
      </c>
      <c r="I203" s="401"/>
      <c r="J203" s="398" t="s">
        <v>620</v>
      </c>
      <c r="K203">
        <v>0</v>
      </c>
      <c r="L203" s="274">
        <f t="shared" si="4"/>
        <v>0</v>
      </c>
    </row>
    <row r="204" spans="1:12" ht="12.75">
      <c r="A204" t="s">
        <v>82</v>
      </c>
      <c r="B204" s="2" t="s">
        <v>114</v>
      </c>
      <c r="C204" s="404">
        <v>0</v>
      </c>
      <c r="D204">
        <v>0</v>
      </c>
      <c r="E204">
        <v>0</v>
      </c>
      <c r="F204" s="33">
        <v>0</v>
      </c>
      <c r="G204">
        <v>0</v>
      </c>
      <c r="H204">
        <v>0</v>
      </c>
      <c r="I204" s="401"/>
      <c r="J204" s="398" t="s">
        <v>620</v>
      </c>
      <c r="K204">
        <v>0</v>
      </c>
      <c r="L204" s="274">
        <f t="shared" si="4"/>
        <v>0</v>
      </c>
    </row>
    <row r="205" spans="1:12" ht="12.75">
      <c r="A205" s="53" t="s">
        <v>83</v>
      </c>
      <c r="B205" s="54" t="s">
        <v>115</v>
      </c>
      <c r="C205" s="403">
        <v>0</v>
      </c>
      <c r="D205">
        <v>0</v>
      </c>
      <c r="E205">
        <v>0</v>
      </c>
      <c r="F205" s="33">
        <v>0</v>
      </c>
      <c r="G205">
        <v>0</v>
      </c>
      <c r="H205">
        <v>0</v>
      </c>
      <c r="I205" s="401"/>
      <c r="J205" s="398" t="s">
        <v>620</v>
      </c>
      <c r="K205">
        <v>0</v>
      </c>
      <c r="L205" s="274">
        <f t="shared" si="4"/>
        <v>0</v>
      </c>
    </row>
    <row r="206" spans="1:12" ht="12.75">
      <c r="A206" t="s">
        <v>84</v>
      </c>
      <c r="B206" s="2" t="s">
        <v>116</v>
      </c>
      <c r="C206" s="404">
        <v>0</v>
      </c>
      <c r="D206">
        <v>0</v>
      </c>
      <c r="E206">
        <v>0</v>
      </c>
      <c r="F206" s="33">
        <v>0</v>
      </c>
      <c r="G206">
        <v>0</v>
      </c>
      <c r="H206">
        <v>0</v>
      </c>
      <c r="I206" s="401"/>
      <c r="J206" s="398" t="s">
        <v>620</v>
      </c>
      <c r="K206">
        <v>0</v>
      </c>
      <c r="L206" s="274">
        <f t="shared" si="4"/>
        <v>0</v>
      </c>
    </row>
    <row r="207" spans="1:12" ht="12.75">
      <c r="A207" s="53" t="s">
        <v>85</v>
      </c>
      <c r="B207" s="54" t="s">
        <v>117</v>
      </c>
      <c r="C207" s="403">
        <v>0</v>
      </c>
      <c r="D207">
        <v>0</v>
      </c>
      <c r="E207">
        <v>0</v>
      </c>
      <c r="F207" s="33">
        <v>0</v>
      </c>
      <c r="G207">
        <v>0</v>
      </c>
      <c r="H207">
        <v>0</v>
      </c>
      <c r="I207" s="401"/>
      <c r="J207" s="398" t="s">
        <v>620</v>
      </c>
      <c r="K207">
        <v>0</v>
      </c>
      <c r="L207" s="274">
        <f t="shared" si="4"/>
        <v>0</v>
      </c>
    </row>
    <row r="208" spans="1:12" ht="12.75">
      <c r="A208" t="s">
        <v>86</v>
      </c>
      <c r="B208" s="2" t="s">
        <v>118</v>
      </c>
      <c r="C208" s="404">
        <v>0</v>
      </c>
      <c r="D208">
        <v>0</v>
      </c>
      <c r="E208">
        <v>0</v>
      </c>
      <c r="F208" s="33">
        <v>0</v>
      </c>
      <c r="G208">
        <v>0</v>
      </c>
      <c r="H208">
        <v>0</v>
      </c>
      <c r="I208" s="401"/>
      <c r="J208" s="398" t="s">
        <v>620</v>
      </c>
      <c r="K208">
        <v>0</v>
      </c>
      <c r="L208" s="274">
        <f t="shared" si="4"/>
        <v>0</v>
      </c>
    </row>
    <row r="209" spans="1:12" ht="12.75">
      <c r="A209" s="53" t="s">
        <v>87</v>
      </c>
      <c r="B209" s="54" t="s">
        <v>119</v>
      </c>
      <c r="C209" s="403">
        <v>0</v>
      </c>
      <c r="D209">
        <v>0</v>
      </c>
      <c r="E209">
        <v>0</v>
      </c>
      <c r="F209" s="33">
        <v>0</v>
      </c>
      <c r="G209">
        <v>0</v>
      </c>
      <c r="H209">
        <v>0</v>
      </c>
      <c r="I209" s="401"/>
      <c r="J209" s="398" t="s">
        <v>620</v>
      </c>
      <c r="K209">
        <v>0</v>
      </c>
      <c r="L209" s="274">
        <f t="shared" si="4"/>
        <v>0</v>
      </c>
    </row>
    <row r="210" spans="1:12" ht="12.75">
      <c r="A210" t="s">
        <v>88</v>
      </c>
      <c r="B210" s="2" t="s">
        <v>120</v>
      </c>
      <c r="C210" s="404">
        <v>0</v>
      </c>
      <c r="D210">
        <v>0</v>
      </c>
      <c r="E210">
        <v>0</v>
      </c>
      <c r="F210" s="33">
        <v>0</v>
      </c>
      <c r="G210">
        <v>0</v>
      </c>
      <c r="H210">
        <v>0</v>
      </c>
      <c r="I210" s="401"/>
      <c r="J210" s="398" t="s">
        <v>620</v>
      </c>
      <c r="K210">
        <v>0</v>
      </c>
      <c r="L210" s="274">
        <f t="shared" si="4"/>
        <v>0</v>
      </c>
    </row>
    <row r="211" spans="1:12" ht="12.75">
      <c r="A211" s="53" t="s">
        <v>89</v>
      </c>
      <c r="B211" s="54" t="s">
        <v>121</v>
      </c>
      <c r="C211" s="403">
        <v>0</v>
      </c>
      <c r="D211">
        <v>0</v>
      </c>
      <c r="E211">
        <v>0</v>
      </c>
      <c r="F211" s="33">
        <v>0</v>
      </c>
      <c r="G211">
        <v>0</v>
      </c>
      <c r="H211">
        <v>0</v>
      </c>
      <c r="I211" s="401"/>
      <c r="J211" s="398" t="s">
        <v>620</v>
      </c>
      <c r="K211">
        <v>0</v>
      </c>
      <c r="L211" s="274">
        <f t="shared" si="4"/>
        <v>0</v>
      </c>
    </row>
    <row r="212" spans="6:12" ht="12.75">
      <c r="F212" s="33"/>
      <c r="I212" s="401"/>
      <c r="K212" s="389"/>
      <c r="L212" s="274">
        <f t="shared" si="4"/>
        <v>0</v>
      </c>
    </row>
    <row r="213" spans="1:12" ht="12.75">
      <c r="A213" s="5" t="s">
        <v>122</v>
      </c>
      <c r="B213" s="341"/>
      <c r="C213" s="14"/>
      <c r="F213" s="33"/>
      <c r="I213" s="401"/>
      <c r="K213" s="389"/>
      <c r="L213" s="274">
        <f t="shared" si="4"/>
        <v>0</v>
      </c>
    </row>
    <row r="214" spans="1:12" ht="12.75">
      <c r="A214" s="53" t="s">
        <v>226</v>
      </c>
      <c r="B214" s="54" t="s">
        <v>123</v>
      </c>
      <c r="C214" s="257">
        <f>Fed_Reservoir!D5</f>
        <v>1979.8521250000001</v>
      </c>
      <c r="D214">
        <v>3375</v>
      </c>
      <c r="E214">
        <v>3158.1</v>
      </c>
      <c r="F214" s="33">
        <v>2695.0190000000002</v>
      </c>
      <c r="G214">
        <v>3030.795083333333</v>
      </c>
      <c r="H214">
        <v>2715.5</v>
      </c>
      <c r="I214" s="401"/>
      <c r="K214" s="389">
        <v>1979.8521250000001</v>
      </c>
      <c r="L214" s="274">
        <f t="shared" si="4"/>
        <v>0</v>
      </c>
    </row>
    <row r="215" spans="1:12" ht="12.75">
      <c r="A215" s="53" t="s">
        <v>78</v>
      </c>
      <c r="B215" s="54" t="s">
        <v>124</v>
      </c>
      <c r="C215" s="257">
        <f>Fed_Reservoir!F5</f>
        <v>1400.0000000000005</v>
      </c>
      <c r="D215">
        <v>-2226</v>
      </c>
      <c r="E215">
        <v>-2900</v>
      </c>
      <c r="F215" s="33">
        <v>-2330</v>
      </c>
      <c r="G215">
        <v>-2400</v>
      </c>
      <c r="H215">
        <v>-2000</v>
      </c>
      <c r="I215" s="401"/>
      <c r="K215" s="389">
        <v>1400</v>
      </c>
      <c r="L215" s="274">
        <f t="shared" si="4"/>
        <v>0</v>
      </c>
    </row>
    <row r="216" spans="1:12" ht="12.75">
      <c r="A216" t="s">
        <v>82</v>
      </c>
      <c r="B216" s="9" t="s">
        <v>125</v>
      </c>
      <c r="C216" s="252">
        <f>Fed_Reservoir!D6</f>
        <v>1217.3028333333334</v>
      </c>
      <c r="D216">
        <v>1485</v>
      </c>
      <c r="E216">
        <v>966.6</v>
      </c>
      <c r="F216" s="33">
        <v>1441.0987083333332</v>
      </c>
      <c r="G216">
        <v>1365.535125</v>
      </c>
      <c r="H216">
        <v>1589.1</v>
      </c>
      <c r="I216" s="401"/>
      <c r="K216" s="389">
        <v>1216.5138333333332</v>
      </c>
      <c r="L216" s="274">
        <f t="shared" si="4"/>
        <v>-0.7890000000002146</v>
      </c>
    </row>
    <row r="217" spans="1:12" ht="12.75">
      <c r="B217" s="9" t="s">
        <v>126</v>
      </c>
      <c r="C217" s="252">
        <f>Fed_Reservoir!F6</f>
        <v>-1499.9999999999982</v>
      </c>
      <c r="D217">
        <v>-218</v>
      </c>
      <c r="E217">
        <v>300</v>
      </c>
      <c r="F217" s="33">
        <v>-490</v>
      </c>
      <c r="G217">
        <v>-500</v>
      </c>
      <c r="H217">
        <v>5800</v>
      </c>
      <c r="I217" s="401"/>
      <c r="K217" s="389">
        <v>-1500</v>
      </c>
      <c r="L217" s="274">
        <f t="shared" si="4"/>
        <v>-1.8189894035458565E-12</v>
      </c>
    </row>
    <row r="218" spans="1:12" ht="12.75">
      <c r="A218" s="53" t="s">
        <v>84</v>
      </c>
      <c r="B218" s="54" t="s">
        <v>127</v>
      </c>
      <c r="C218" s="257">
        <f>Fed_Reservoir!D7</f>
        <v>1202.3989166666668</v>
      </c>
      <c r="D218">
        <v>2377</v>
      </c>
      <c r="E218">
        <v>2025.5</v>
      </c>
      <c r="F218" s="33">
        <v>2422.251999999999</v>
      </c>
      <c r="G218">
        <v>2493.6514999999995</v>
      </c>
      <c r="H218">
        <v>2368.7</v>
      </c>
      <c r="I218" s="401"/>
      <c r="K218" s="389">
        <v>1204.5959999999995</v>
      </c>
      <c r="L218" s="274">
        <f t="shared" si="4"/>
        <v>2.1970833333327846</v>
      </c>
    </row>
    <row r="219" spans="1:12" ht="12.75">
      <c r="A219" s="53" t="s">
        <v>78</v>
      </c>
      <c r="B219" s="54" t="s">
        <v>128</v>
      </c>
      <c r="C219" s="257">
        <f>Fed_Reservoir!F7</f>
        <v>1500</v>
      </c>
      <c r="D219">
        <v>2947</v>
      </c>
      <c r="E219">
        <v>2800</v>
      </c>
      <c r="F219" s="33">
        <v>-7140</v>
      </c>
      <c r="G219">
        <v>-7100</v>
      </c>
      <c r="H219">
        <v>11900</v>
      </c>
      <c r="I219" s="401"/>
      <c r="K219" s="389">
        <v>1500</v>
      </c>
      <c r="L219" s="274">
        <f t="shared" si="4"/>
        <v>0</v>
      </c>
    </row>
    <row r="220" spans="1:12" ht="12.75">
      <c r="A220" s="17" t="s">
        <v>85</v>
      </c>
      <c r="B220" s="9" t="s">
        <v>129</v>
      </c>
      <c r="C220" s="252">
        <f>Fed_Reservoir!D8</f>
        <v>1591.4419999999998</v>
      </c>
      <c r="D220">
        <v>3755</v>
      </c>
      <c r="E220">
        <v>2058.9</v>
      </c>
      <c r="F220" s="33">
        <v>3011.1212499999997</v>
      </c>
      <c r="G220">
        <v>3034.878083333333</v>
      </c>
      <c r="H220">
        <v>1548.8</v>
      </c>
      <c r="I220" s="401"/>
      <c r="K220" s="389">
        <v>1591.4419999999998</v>
      </c>
      <c r="L220" s="274">
        <f t="shared" si="4"/>
        <v>0</v>
      </c>
    </row>
    <row r="221" spans="1:12" ht="12.75">
      <c r="A221" s="17" t="s">
        <v>78</v>
      </c>
      <c r="B221" s="9" t="s">
        <v>130</v>
      </c>
      <c r="C221" s="252">
        <f>Fed_Reservoir!F8</f>
        <v>-1000</v>
      </c>
      <c r="D221">
        <v>3385</v>
      </c>
      <c r="E221">
        <v>-300</v>
      </c>
      <c r="F221" s="33">
        <v>-3080</v>
      </c>
      <c r="G221">
        <v>-3000</v>
      </c>
      <c r="H221">
        <v>10400</v>
      </c>
      <c r="I221" s="401"/>
      <c r="K221" s="389">
        <v>-1000</v>
      </c>
      <c r="L221" s="274">
        <f t="shared" si="4"/>
        <v>0</v>
      </c>
    </row>
    <row r="222" spans="1:12" ht="12.75">
      <c r="A222" s="53" t="s">
        <v>88</v>
      </c>
      <c r="B222" s="54" t="s">
        <v>131</v>
      </c>
      <c r="C222" s="257">
        <f>Fed_Reservoir!D9</f>
        <v>1223.8670000000002</v>
      </c>
      <c r="D222">
        <v>2823</v>
      </c>
      <c r="E222">
        <v>2088.8</v>
      </c>
      <c r="F222" s="33">
        <v>1759.7495833333335</v>
      </c>
      <c r="G222">
        <v>1791.4270000000001</v>
      </c>
      <c r="H222">
        <v>2213.1</v>
      </c>
      <c r="I222" s="401"/>
      <c r="K222" s="389">
        <v>1223.8670000000002</v>
      </c>
      <c r="L222" s="274">
        <f t="shared" si="4"/>
        <v>0</v>
      </c>
    </row>
    <row r="223" spans="1:12" ht="12.75">
      <c r="A223" s="53" t="s">
        <v>78</v>
      </c>
      <c r="B223" s="54" t="s">
        <v>132</v>
      </c>
      <c r="C223" s="257">
        <f>Fed_Reservoir!F9</f>
        <v>6600.000000000002</v>
      </c>
      <c r="D223">
        <v>-4338</v>
      </c>
      <c r="E223">
        <v>-1000</v>
      </c>
      <c r="F223" s="33">
        <v>-210</v>
      </c>
      <c r="G223">
        <v>-200.00000000000108</v>
      </c>
      <c r="H223">
        <v>1600</v>
      </c>
      <c r="I223" s="401"/>
      <c r="K223" s="389">
        <v>6600</v>
      </c>
      <c r="L223" s="274">
        <f t="shared" si="4"/>
        <v>0</v>
      </c>
    </row>
    <row r="224" spans="1:12" ht="12.75">
      <c r="A224" s="17" t="s">
        <v>89</v>
      </c>
      <c r="B224" s="9" t="s">
        <v>133</v>
      </c>
      <c r="C224" s="252">
        <f>Fed_Reservoir!D10</f>
        <v>5526.676208333334</v>
      </c>
      <c r="D224">
        <v>6086</v>
      </c>
      <c r="E224">
        <v>2588.2</v>
      </c>
      <c r="F224" s="33">
        <v>6155.54075</v>
      </c>
      <c r="G224">
        <v>5381.398125</v>
      </c>
      <c r="H224">
        <v>6443.9</v>
      </c>
      <c r="I224" s="401"/>
      <c r="K224" s="389">
        <v>5526.631625000001</v>
      </c>
      <c r="L224" s="274">
        <f t="shared" si="4"/>
        <v>-0.04458333333332121</v>
      </c>
    </row>
    <row r="225" spans="1:12" ht="12.75">
      <c r="A225" s="17" t="s">
        <v>78</v>
      </c>
      <c r="B225" s="9" t="s">
        <v>134</v>
      </c>
      <c r="C225" s="252">
        <f>Fed_Reservoir!F10</f>
        <v>6799.999999999997</v>
      </c>
      <c r="D225">
        <v>4735</v>
      </c>
      <c r="E225">
        <v>3900</v>
      </c>
      <c r="F225" s="33">
        <v>1240</v>
      </c>
      <c r="G225">
        <v>1200</v>
      </c>
      <c r="H225">
        <v>8900</v>
      </c>
      <c r="I225" s="401"/>
      <c r="K225" s="389">
        <v>6800</v>
      </c>
      <c r="L225" s="274">
        <f t="shared" si="4"/>
        <v>0</v>
      </c>
    </row>
    <row r="226" spans="1:12" ht="12.75">
      <c r="A226" s="17" t="s">
        <v>78</v>
      </c>
      <c r="B226" s="9" t="s">
        <v>135</v>
      </c>
      <c r="C226" s="252">
        <f>Fed_Reservoir!D11</f>
        <v>12238.509583333333</v>
      </c>
      <c r="D226">
        <v>23664</v>
      </c>
      <c r="E226">
        <v>17017</v>
      </c>
      <c r="F226" s="33">
        <v>13465.963333333333</v>
      </c>
      <c r="G226">
        <v>16181.838666666667</v>
      </c>
      <c r="H226">
        <v>14701</v>
      </c>
      <c r="I226" s="401"/>
      <c r="K226" s="389">
        <v>14038.839541666664</v>
      </c>
      <c r="L226" s="274">
        <f t="shared" si="4"/>
        <v>1800.329958333332</v>
      </c>
    </row>
    <row r="227" spans="1:12" ht="12.75">
      <c r="A227" s="17" t="s">
        <v>78</v>
      </c>
      <c r="B227" s="9" t="s">
        <v>136</v>
      </c>
      <c r="C227" s="252">
        <f>Fed_Reservoir!F11</f>
        <v>63900.00000000001</v>
      </c>
      <c r="D227">
        <v>-47110</v>
      </c>
      <c r="E227">
        <v>-6200</v>
      </c>
      <c r="F227" s="33">
        <v>-11810</v>
      </c>
      <c r="G227">
        <v>-11800</v>
      </c>
      <c r="H227">
        <v>139100</v>
      </c>
      <c r="I227" s="401"/>
      <c r="K227" s="389">
        <v>63900</v>
      </c>
      <c r="L227" s="274">
        <f t="shared" si="4"/>
        <v>0</v>
      </c>
    </row>
    <row r="228" spans="1:12" ht="12.75">
      <c r="A228" s="17" t="s">
        <v>78</v>
      </c>
      <c r="B228" s="9" t="s">
        <v>430</v>
      </c>
      <c r="C228" s="354">
        <f>K228</f>
        <v>10</v>
      </c>
      <c r="D228">
        <v>670</v>
      </c>
      <c r="E228">
        <v>1110</v>
      </c>
      <c r="F228" s="33">
        <v>2020</v>
      </c>
      <c r="G228">
        <v>1770</v>
      </c>
      <c r="H228">
        <v>130</v>
      </c>
      <c r="I228" s="401"/>
      <c r="J228" s="398" t="s">
        <v>620</v>
      </c>
      <c r="K228" s="389">
        <v>10</v>
      </c>
      <c r="L228" s="274">
        <f t="shared" si="4"/>
        <v>0</v>
      </c>
    </row>
    <row r="229" spans="6:12" ht="12.75">
      <c r="F229" s="33"/>
      <c r="I229" s="401"/>
      <c r="K229" s="389"/>
      <c r="L229" s="274">
        <f t="shared" si="4"/>
        <v>0</v>
      </c>
    </row>
    <row r="230" spans="1:12" ht="12.75">
      <c r="A230" s="5" t="s">
        <v>137</v>
      </c>
      <c r="B230" s="14" t="s">
        <v>78</v>
      </c>
      <c r="C230" s="14"/>
      <c r="F230" s="33"/>
      <c r="I230" s="401"/>
      <c r="J230" s="398" t="s">
        <v>646</v>
      </c>
      <c r="K230" s="389"/>
      <c r="L230" s="274">
        <f t="shared" si="4"/>
        <v>0</v>
      </c>
    </row>
    <row r="231" spans="1:12" ht="12.75">
      <c r="A231" s="53" t="s">
        <v>77</v>
      </c>
      <c r="B231" s="54" t="s">
        <v>138</v>
      </c>
      <c r="C231" s="98">
        <f>K231</f>
        <v>465</v>
      </c>
      <c r="D231">
        <v>1948</v>
      </c>
      <c r="E231">
        <v>2072</v>
      </c>
      <c r="F231" s="33">
        <v>2423</v>
      </c>
      <c r="G231">
        <v>2654</v>
      </c>
      <c r="H231">
        <v>2512</v>
      </c>
      <c r="I231" s="401"/>
      <c r="J231" s="398" t="s">
        <v>620</v>
      </c>
      <c r="K231" s="389">
        <v>465</v>
      </c>
      <c r="L231" s="274">
        <f t="shared" si="4"/>
        <v>0</v>
      </c>
    </row>
    <row r="232" spans="1:12" ht="12.75">
      <c r="A232" s="53" t="s">
        <v>78</v>
      </c>
      <c r="B232" s="54" t="s">
        <v>139</v>
      </c>
      <c r="C232" s="98">
        <f>K232</f>
        <v>4995</v>
      </c>
      <c r="D232">
        <v>4965</v>
      </c>
      <c r="E232">
        <v>3732</v>
      </c>
      <c r="F232" s="33">
        <v>4745</v>
      </c>
      <c r="G232">
        <v>4418</v>
      </c>
      <c r="H232">
        <v>4522</v>
      </c>
      <c r="I232" s="401"/>
      <c r="J232" s="398" t="s">
        <v>620</v>
      </c>
      <c r="K232" s="389">
        <v>4995</v>
      </c>
      <c r="L232" s="274">
        <f t="shared" si="4"/>
        <v>0</v>
      </c>
    </row>
    <row r="233" spans="1:12" ht="12.75">
      <c r="A233" s="53" t="s">
        <v>78</v>
      </c>
      <c r="B233" s="54" t="s">
        <v>140</v>
      </c>
      <c r="C233" s="197">
        <f>K233</f>
        <v>5460</v>
      </c>
      <c r="D233">
        <v>6913</v>
      </c>
      <c r="E233">
        <v>5804</v>
      </c>
      <c r="F233" s="33">
        <v>7168</v>
      </c>
      <c r="G233">
        <v>7072</v>
      </c>
      <c r="H233">
        <v>7034</v>
      </c>
      <c r="I233" s="401"/>
      <c r="J233" s="398" t="s">
        <v>620</v>
      </c>
      <c r="K233" s="388">
        <v>5460</v>
      </c>
      <c r="L233" s="274">
        <f t="shared" si="4"/>
        <v>0</v>
      </c>
    </row>
    <row r="234" spans="1:12" ht="12.75">
      <c r="A234" s="17" t="s">
        <v>226</v>
      </c>
      <c r="B234" s="9" t="s">
        <v>141</v>
      </c>
      <c r="C234" s="405">
        <f>K234</f>
        <v>0</v>
      </c>
      <c r="D234">
        <v>0</v>
      </c>
      <c r="E234">
        <v>0</v>
      </c>
      <c r="F234" s="33">
        <v>0</v>
      </c>
      <c r="G234">
        <v>0</v>
      </c>
      <c r="H234">
        <v>43</v>
      </c>
      <c r="I234" s="401"/>
      <c r="K234" s="389">
        <v>0</v>
      </c>
      <c r="L234" s="274">
        <f t="shared" si="4"/>
        <v>0</v>
      </c>
    </row>
    <row r="235" spans="1:12" ht="12.75">
      <c r="A235" s="53" t="s">
        <v>82</v>
      </c>
      <c r="B235" s="54" t="s">
        <v>142</v>
      </c>
      <c r="C235" s="54">
        <v>0</v>
      </c>
      <c r="D235">
        <v>0</v>
      </c>
      <c r="E235">
        <v>0</v>
      </c>
      <c r="F235" s="33">
        <v>0</v>
      </c>
      <c r="G235">
        <v>0</v>
      </c>
      <c r="H235">
        <v>0</v>
      </c>
      <c r="I235" s="401"/>
      <c r="K235" s="393">
        <v>0</v>
      </c>
      <c r="L235" s="274">
        <f t="shared" si="4"/>
        <v>0</v>
      </c>
    </row>
    <row r="236" spans="1:12" ht="12.75">
      <c r="A236" s="53" t="s">
        <v>78</v>
      </c>
      <c r="B236" s="54" t="s">
        <v>143</v>
      </c>
      <c r="C236" s="406">
        <f>K236</f>
        <v>0</v>
      </c>
      <c r="D236">
        <v>1838</v>
      </c>
      <c r="E236">
        <v>1443</v>
      </c>
      <c r="F236" s="33">
        <v>2096</v>
      </c>
      <c r="G236">
        <v>0</v>
      </c>
      <c r="H236" s="424">
        <v>0</v>
      </c>
      <c r="I236" s="401"/>
      <c r="K236" s="389">
        <v>0</v>
      </c>
      <c r="L236" s="274">
        <f t="shared" si="4"/>
        <v>0</v>
      </c>
    </row>
    <row r="237" spans="1:12" ht="12.75">
      <c r="A237" s="53" t="s">
        <v>78</v>
      </c>
      <c r="B237" s="54" t="s">
        <v>144</v>
      </c>
      <c r="C237" s="312">
        <f>Attachment7!B17</f>
        <v>0</v>
      </c>
      <c r="D237">
        <v>8002</v>
      </c>
      <c r="E237">
        <v>8674</v>
      </c>
      <c r="F237" s="33">
        <v>6562</v>
      </c>
      <c r="G237">
        <v>0</v>
      </c>
      <c r="H237">
        <v>0</v>
      </c>
      <c r="I237" s="401"/>
      <c r="K237" s="389">
        <v>0</v>
      </c>
      <c r="L237" s="274">
        <f t="shared" si="4"/>
        <v>0</v>
      </c>
    </row>
    <row r="238" spans="1:12" ht="12.75">
      <c r="A238" s="53" t="s">
        <v>78</v>
      </c>
      <c r="B238" s="54" t="s">
        <v>145</v>
      </c>
      <c r="C238" s="312">
        <f>Attachment7!B18</f>
        <v>0</v>
      </c>
      <c r="D238">
        <v>0</v>
      </c>
      <c r="E238">
        <v>0</v>
      </c>
      <c r="F238" s="33">
        <v>0</v>
      </c>
      <c r="G238">
        <v>0</v>
      </c>
      <c r="H238">
        <v>0</v>
      </c>
      <c r="I238" s="401"/>
      <c r="K238" s="389">
        <v>0</v>
      </c>
      <c r="L238" s="274">
        <f t="shared" si="4"/>
        <v>0</v>
      </c>
    </row>
    <row r="239" spans="1:12" ht="12.75">
      <c r="A239" s="53" t="s">
        <v>78</v>
      </c>
      <c r="B239" s="54" t="s">
        <v>146</v>
      </c>
      <c r="C239" s="301">
        <f>Attachment7!K17</f>
        <v>1</v>
      </c>
      <c r="D239">
        <v>0.56</v>
      </c>
      <c r="E239">
        <v>0.658467373760664</v>
      </c>
      <c r="F239" s="33">
        <v>0.7808994209082596</v>
      </c>
      <c r="G239">
        <v>1</v>
      </c>
      <c r="H239">
        <v>1</v>
      </c>
      <c r="I239" s="401"/>
      <c r="K239" s="391">
        <v>1</v>
      </c>
      <c r="L239" s="274">
        <f t="shared" si="4"/>
        <v>0</v>
      </c>
    </row>
    <row r="240" spans="1:12" ht="12.75">
      <c r="A240" s="53" t="s">
        <v>78</v>
      </c>
      <c r="B240" s="54" t="s">
        <v>147</v>
      </c>
      <c r="C240" s="301">
        <f>Attachment7!K18</f>
        <v>1</v>
      </c>
      <c r="D240">
        <v>1</v>
      </c>
      <c r="E240">
        <v>1</v>
      </c>
      <c r="F240" s="33">
        <v>1</v>
      </c>
      <c r="G240">
        <v>1</v>
      </c>
      <c r="H240">
        <v>1</v>
      </c>
      <c r="I240" s="401"/>
      <c r="K240" s="394">
        <v>1</v>
      </c>
      <c r="L240" s="274">
        <f t="shared" si="4"/>
        <v>0</v>
      </c>
    </row>
    <row r="241" spans="1:12" ht="12.75">
      <c r="A241" s="17" t="s">
        <v>83</v>
      </c>
      <c r="B241" s="9" t="s">
        <v>148</v>
      </c>
      <c r="C241" s="29">
        <f>Attachment7!B19</f>
        <v>0</v>
      </c>
      <c r="D241">
        <v>0</v>
      </c>
      <c r="E241">
        <v>0</v>
      </c>
      <c r="F241" s="33">
        <v>0</v>
      </c>
      <c r="G241">
        <v>0</v>
      </c>
      <c r="H241">
        <v>0</v>
      </c>
      <c r="I241" s="401"/>
      <c r="K241" s="389">
        <v>0</v>
      </c>
      <c r="L241" s="274">
        <f t="shared" si="4"/>
        <v>0</v>
      </c>
    </row>
    <row r="242" spans="1:12" ht="12.75">
      <c r="A242" s="17" t="s">
        <v>78</v>
      </c>
      <c r="B242" s="9" t="s">
        <v>149</v>
      </c>
      <c r="C242" s="313">
        <f>Attachment7!K19</f>
        <v>1</v>
      </c>
      <c r="D242">
        <v>1</v>
      </c>
      <c r="E242">
        <v>1</v>
      </c>
      <c r="F242" s="33">
        <v>1</v>
      </c>
      <c r="G242">
        <v>1</v>
      </c>
      <c r="H242">
        <v>1</v>
      </c>
      <c r="I242" s="401"/>
      <c r="K242" s="394">
        <v>1</v>
      </c>
      <c r="L242" s="274">
        <f t="shared" si="4"/>
        <v>0</v>
      </c>
    </row>
    <row r="243" spans="1:12" ht="12.75">
      <c r="A243" s="53" t="s">
        <v>84</v>
      </c>
      <c r="B243" s="54" t="s">
        <v>150</v>
      </c>
      <c r="C243" s="312">
        <f>Attachment7!B20</f>
        <v>4089</v>
      </c>
      <c r="D243">
        <v>0</v>
      </c>
      <c r="E243">
        <v>0</v>
      </c>
      <c r="F243" s="33">
        <v>0</v>
      </c>
      <c r="G243">
        <v>0</v>
      </c>
      <c r="H243">
        <v>0</v>
      </c>
      <c r="I243" s="401"/>
      <c r="K243" s="389">
        <v>4089</v>
      </c>
      <c r="L243" s="274">
        <f t="shared" si="4"/>
        <v>0</v>
      </c>
    </row>
    <row r="244" spans="1:12" ht="12.75">
      <c r="A244" s="53" t="s">
        <v>78</v>
      </c>
      <c r="B244" s="54" t="s">
        <v>151</v>
      </c>
      <c r="C244" s="207">
        <f>Attachment7!K20</f>
        <v>0.6494424064563462</v>
      </c>
      <c r="D244">
        <v>1</v>
      </c>
      <c r="E244">
        <v>1</v>
      </c>
      <c r="F244" s="33">
        <v>1</v>
      </c>
      <c r="G244">
        <v>1</v>
      </c>
      <c r="H244">
        <v>1</v>
      </c>
      <c r="I244" s="401"/>
      <c r="K244" s="394">
        <v>0.6494424064563462</v>
      </c>
      <c r="L244" s="274">
        <f t="shared" si="4"/>
        <v>0</v>
      </c>
    </row>
    <row r="245" spans="1:12" ht="12.75">
      <c r="A245" t="s">
        <v>88</v>
      </c>
      <c r="B245" s="9" t="s">
        <v>276</v>
      </c>
      <c r="C245" s="29">
        <f>Attachment7!B26</f>
        <v>2217</v>
      </c>
      <c r="D245">
        <v>3379</v>
      </c>
      <c r="E245">
        <v>0</v>
      </c>
      <c r="F245" s="33">
        <v>0</v>
      </c>
      <c r="G245">
        <v>0</v>
      </c>
      <c r="H245">
        <v>1099</v>
      </c>
      <c r="I245" s="401"/>
      <c r="K245" s="395">
        <v>2217</v>
      </c>
      <c r="L245" s="274">
        <f t="shared" si="4"/>
        <v>0</v>
      </c>
    </row>
    <row r="246" spans="1:12" ht="12.75">
      <c r="B246" s="9" t="s">
        <v>277</v>
      </c>
      <c r="C246" s="355">
        <f>Attachment7!K26</f>
        <v>0.6058827244023454</v>
      </c>
      <c r="D246">
        <v>0.52</v>
      </c>
      <c r="E246">
        <v>1</v>
      </c>
      <c r="F246" s="33">
        <v>1</v>
      </c>
      <c r="G246">
        <v>1</v>
      </c>
      <c r="H246">
        <v>0.6095159235668789</v>
      </c>
      <c r="I246" s="401"/>
      <c r="K246" s="394">
        <v>0.6058827244023454</v>
      </c>
      <c r="L246" s="274">
        <f t="shared" si="4"/>
        <v>0</v>
      </c>
    </row>
    <row r="247" spans="1:12" ht="12.75">
      <c r="A247" s="53" t="s">
        <v>89</v>
      </c>
      <c r="B247" s="54" t="s">
        <v>152</v>
      </c>
      <c r="C247" s="312">
        <f>Attachment7!B21</f>
        <v>0</v>
      </c>
      <c r="D247">
        <v>0</v>
      </c>
      <c r="E247">
        <v>0</v>
      </c>
      <c r="F247" s="33">
        <v>0</v>
      </c>
      <c r="G247">
        <v>5830</v>
      </c>
      <c r="H247">
        <v>0</v>
      </c>
      <c r="I247" s="401"/>
      <c r="K247" s="389">
        <v>0</v>
      </c>
      <c r="L247" s="274">
        <f t="shared" si="4"/>
        <v>0</v>
      </c>
    </row>
    <row r="248" spans="1:12" ht="12.75">
      <c r="A248" s="210"/>
      <c r="B248" s="54" t="s">
        <v>162</v>
      </c>
      <c r="C248" s="207">
        <f>Attachment7!K21</f>
        <v>1</v>
      </c>
      <c r="D248">
        <v>1</v>
      </c>
      <c r="E248">
        <v>1</v>
      </c>
      <c r="F248" s="33">
        <v>1</v>
      </c>
      <c r="G248">
        <v>0.5620445969125214</v>
      </c>
      <c r="H248">
        <v>1</v>
      </c>
      <c r="I248" s="401"/>
      <c r="K248" s="391">
        <v>1</v>
      </c>
      <c r="L248" s="274">
        <f t="shared" si="4"/>
        <v>0</v>
      </c>
    </row>
    <row r="249" spans="1:12" ht="12.75">
      <c r="A249" s="210" t="s">
        <v>78</v>
      </c>
      <c r="B249" s="54" t="s">
        <v>153</v>
      </c>
      <c r="C249" s="312">
        <f>Attachment7!B22</f>
        <v>19387</v>
      </c>
      <c r="D249">
        <v>18332</v>
      </c>
      <c r="E249">
        <v>21964</v>
      </c>
      <c r="F249" s="33">
        <v>19732</v>
      </c>
      <c r="G249">
        <v>19692</v>
      </c>
      <c r="H249">
        <v>0</v>
      </c>
      <c r="I249" s="401"/>
      <c r="K249" s="389">
        <v>19387</v>
      </c>
      <c r="L249" s="274">
        <f t="shared" si="4"/>
        <v>0</v>
      </c>
    </row>
    <row r="250" spans="1:12" ht="12.75">
      <c r="A250" s="210"/>
      <c r="B250" s="54" t="s">
        <v>163</v>
      </c>
      <c r="C250" s="207">
        <f>Attachment7!K22</f>
        <v>0.5606681797080517</v>
      </c>
      <c r="D250">
        <v>0.51</v>
      </c>
      <c r="E250" s="296">
        <v>0.5245849572026954</v>
      </c>
      <c r="F250" s="302">
        <v>0.5361416987634299</v>
      </c>
      <c r="G250">
        <v>0.5524714604915701</v>
      </c>
      <c r="H250">
        <v>1</v>
      </c>
      <c r="I250" s="401"/>
      <c r="K250" s="391">
        <v>0.5606681797080517</v>
      </c>
      <c r="L250" s="274">
        <f t="shared" si="4"/>
        <v>0</v>
      </c>
    </row>
    <row r="251" spans="1:12" ht="12.75">
      <c r="A251" s="210" t="s">
        <v>78</v>
      </c>
      <c r="B251" s="54" t="s">
        <v>154</v>
      </c>
      <c r="C251" s="312">
        <f>Attachment7!B23</f>
        <v>316</v>
      </c>
      <c r="D251">
        <v>2162</v>
      </c>
      <c r="E251">
        <v>0</v>
      </c>
      <c r="F251" s="33">
        <v>0</v>
      </c>
      <c r="G251">
        <v>0</v>
      </c>
      <c r="H251">
        <v>0</v>
      </c>
      <c r="I251" s="401"/>
      <c r="K251" s="389">
        <v>316</v>
      </c>
      <c r="L251" s="274">
        <f t="shared" si="4"/>
        <v>0</v>
      </c>
    </row>
    <row r="252" spans="1:12" ht="12.75">
      <c r="A252" s="210"/>
      <c r="B252" s="54" t="s">
        <v>164</v>
      </c>
      <c r="C252" s="207">
        <f>Attachment7!K23</f>
        <v>0.5518132911392405</v>
      </c>
      <c r="D252">
        <v>0.53</v>
      </c>
      <c r="E252">
        <v>1</v>
      </c>
      <c r="F252" s="33">
        <v>1</v>
      </c>
      <c r="G252">
        <v>1</v>
      </c>
      <c r="H252">
        <v>1</v>
      </c>
      <c r="I252" s="401"/>
      <c r="K252" s="391">
        <v>0.5518132911392405</v>
      </c>
      <c r="L252" s="274">
        <f t="shared" si="4"/>
        <v>0</v>
      </c>
    </row>
    <row r="253" spans="1:12" ht="12.75">
      <c r="A253" s="210" t="s">
        <v>78</v>
      </c>
      <c r="B253" s="54" t="s">
        <v>155</v>
      </c>
      <c r="C253" s="312">
        <f>Attachment7!B24</f>
        <v>16085</v>
      </c>
      <c r="D253">
        <v>15262</v>
      </c>
      <c r="E253">
        <v>0</v>
      </c>
      <c r="F253" s="33">
        <v>0</v>
      </c>
      <c r="G253">
        <v>0</v>
      </c>
      <c r="H253">
        <v>0</v>
      </c>
      <c r="I253" s="401"/>
      <c r="K253" s="389">
        <v>16085</v>
      </c>
      <c r="L253" s="274">
        <f t="shared" si="4"/>
        <v>0</v>
      </c>
    </row>
    <row r="254" spans="1:12" ht="12.75">
      <c r="A254" s="210"/>
      <c r="B254" s="54" t="s">
        <v>165</v>
      </c>
      <c r="C254" s="207">
        <f>Attachment7!K24</f>
        <v>0.709025986944358</v>
      </c>
      <c r="D254">
        <v>0.64</v>
      </c>
      <c r="E254">
        <v>1</v>
      </c>
      <c r="F254" s="33">
        <v>1</v>
      </c>
      <c r="G254">
        <v>1</v>
      </c>
      <c r="H254">
        <v>1</v>
      </c>
      <c r="I254" s="401"/>
      <c r="K254" s="391">
        <v>0.709025986944358</v>
      </c>
      <c r="L254" s="274">
        <f t="shared" si="4"/>
        <v>0</v>
      </c>
    </row>
    <row r="255" spans="1:12" ht="12.75">
      <c r="A255" s="210" t="s">
        <v>78</v>
      </c>
      <c r="B255" s="54" t="s">
        <v>156</v>
      </c>
      <c r="C255" s="312">
        <f>Attachment7!B25</f>
        <v>576</v>
      </c>
      <c r="D255">
        <v>1687</v>
      </c>
      <c r="E255">
        <v>0</v>
      </c>
      <c r="F255" s="33">
        <v>0</v>
      </c>
      <c r="G255">
        <v>0</v>
      </c>
      <c r="H255">
        <v>0</v>
      </c>
      <c r="I255" s="401"/>
      <c r="K255" s="389">
        <v>576</v>
      </c>
      <c r="L255" s="274">
        <f t="shared" si="4"/>
        <v>0</v>
      </c>
    </row>
    <row r="256" spans="1:12" ht="12.75">
      <c r="A256" s="210"/>
      <c r="B256" s="54" t="s">
        <v>166</v>
      </c>
      <c r="C256" s="207">
        <f>Attachment7!K25</f>
        <v>0.6793472222222222</v>
      </c>
      <c r="D256">
        <v>0.57</v>
      </c>
      <c r="E256">
        <v>1</v>
      </c>
      <c r="F256" s="33">
        <v>1</v>
      </c>
      <c r="G256">
        <v>1</v>
      </c>
      <c r="H256">
        <v>1</v>
      </c>
      <c r="I256" s="401"/>
      <c r="K256" s="391">
        <v>0.6793472222222222</v>
      </c>
      <c r="L256" s="274">
        <f t="shared" si="4"/>
        <v>0</v>
      </c>
    </row>
    <row r="257" spans="1:12" ht="12.75">
      <c r="A257" s="210" t="s">
        <v>78</v>
      </c>
      <c r="B257" s="54" t="s">
        <v>157</v>
      </c>
      <c r="C257" s="312">
        <f>Attachment7!B27</f>
        <v>5666</v>
      </c>
      <c r="D257">
        <v>8174</v>
      </c>
      <c r="E257">
        <v>5800</v>
      </c>
      <c r="F257" s="33">
        <v>4712</v>
      </c>
      <c r="G257">
        <v>0</v>
      </c>
      <c r="H257">
        <v>0</v>
      </c>
      <c r="I257" s="401"/>
      <c r="K257" s="389">
        <v>5666</v>
      </c>
      <c r="L257" s="274">
        <f t="shared" si="4"/>
        <v>0</v>
      </c>
    </row>
    <row r="258" spans="1:12" ht="12.75">
      <c r="A258" s="210"/>
      <c r="B258" s="54" t="s">
        <v>167</v>
      </c>
      <c r="C258" s="207">
        <f>Attachment7!K27</f>
        <v>0.7141496646664314</v>
      </c>
      <c r="D258">
        <v>0.57</v>
      </c>
      <c r="E258">
        <v>0.6778671379310345</v>
      </c>
      <c r="F258" s="33">
        <v>0.6419266977928691</v>
      </c>
      <c r="G258">
        <v>1</v>
      </c>
      <c r="H258">
        <v>1</v>
      </c>
      <c r="I258" s="401"/>
      <c r="K258" s="391">
        <v>0.7141496646664314</v>
      </c>
      <c r="L258" s="274">
        <f t="shared" si="4"/>
        <v>0</v>
      </c>
    </row>
    <row r="259" spans="1:12" ht="12.75">
      <c r="A259" s="210"/>
      <c r="B259" s="54"/>
      <c r="C259" s="54"/>
      <c r="F259" s="33">
        <v>0</v>
      </c>
      <c r="I259" s="401"/>
      <c r="K259" s="390"/>
      <c r="L259" s="274">
        <f t="shared" si="4"/>
        <v>0</v>
      </c>
    </row>
    <row r="260" spans="1:12" ht="12.75">
      <c r="A260" s="210" t="s">
        <v>78</v>
      </c>
      <c r="B260" s="54" t="s">
        <v>158</v>
      </c>
      <c r="C260" s="197">
        <f>CourtlandAvLove!C32</f>
        <v>32224</v>
      </c>
      <c r="D260">
        <v>66500</v>
      </c>
      <c r="E260">
        <v>31501</v>
      </c>
      <c r="F260" s="33">
        <v>48737</v>
      </c>
      <c r="G260">
        <v>50630.97255</v>
      </c>
      <c r="H260">
        <v>65851</v>
      </c>
      <c r="I260" s="401"/>
      <c r="K260" s="388">
        <v>32224</v>
      </c>
      <c r="L260" s="274">
        <f t="shared" si="4"/>
        <v>0</v>
      </c>
    </row>
    <row r="261" spans="1:12" ht="12.75">
      <c r="A261" s="210"/>
      <c r="B261" s="154" t="s">
        <v>450</v>
      </c>
      <c r="C261" s="154">
        <f>CourtlandAvLove!Q32</f>
        <v>0</v>
      </c>
      <c r="D261">
        <v>1591</v>
      </c>
      <c r="E261">
        <v>0</v>
      </c>
      <c r="F261" s="33">
        <v>0</v>
      </c>
      <c r="G261">
        <v>0</v>
      </c>
      <c r="H261">
        <v>0</v>
      </c>
      <c r="I261" s="401"/>
      <c r="K261" s="389">
        <v>312.88552219310577</v>
      </c>
      <c r="L261" s="274">
        <f aca="true" t="shared" si="5" ref="L261:L275">K261-C261</f>
        <v>312.88552219310577</v>
      </c>
    </row>
    <row r="262" spans="1:12" ht="12.75">
      <c r="A262" s="210"/>
      <c r="B262" s="54" t="s">
        <v>451</v>
      </c>
      <c r="C262" s="207">
        <f>Attachment7!K28</f>
        <v>1</v>
      </c>
      <c r="D262">
        <v>0.3259126335637964</v>
      </c>
      <c r="E262">
        <v>1</v>
      </c>
      <c r="F262" s="33">
        <v>1</v>
      </c>
      <c r="G262">
        <v>1</v>
      </c>
      <c r="H262">
        <v>1</v>
      </c>
      <c r="K262" s="391">
        <v>1</v>
      </c>
      <c r="L262" s="274">
        <f t="shared" si="5"/>
        <v>0</v>
      </c>
    </row>
    <row r="263" spans="1:12" ht="12.75">
      <c r="A263" s="210"/>
      <c r="B263" s="54" t="s">
        <v>452</v>
      </c>
      <c r="C263" s="98">
        <f>CourtlandAvLove!$M32</f>
        <v>3671</v>
      </c>
      <c r="D263">
        <v>2841</v>
      </c>
      <c r="E263">
        <v>184</v>
      </c>
      <c r="F263" s="33">
        <v>415</v>
      </c>
      <c r="G263">
        <v>2242</v>
      </c>
      <c r="H263">
        <v>2087</v>
      </c>
      <c r="K263" s="389">
        <v>3669.6288156588507</v>
      </c>
      <c r="L263" s="274">
        <f t="shared" si="5"/>
        <v>-1.3711843411492737</v>
      </c>
    </row>
    <row r="264" spans="1:12" ht="12.75">
      <c r="A264" s="210"/>
      <c r="B264" s="54" t="s">
        <v>453</v>
      </c>
      <c r="C264" s="98">
        <f>CourtlandAvLove!$N32</f>
        <v>2945</v>
      </c>
      <c r="D264">
        <v>10116</v>
      </c>
      <c r="E264">
        <v>5877</v>
      </c>
      <c r="F264" s="33">
        <v>8236</v>
      </c>
      <c r="G264">
        <v>9916.38555</v>
      </c>
      <c r="H264">
        <v>7628</v>
      </c>
      <c r="K264" s="389">
        <v>2944.4856621480435</v>
      </c>
      <c r="L264" s="274">
        <f t="shared" si="5"/>
        <v>-0.5143378519564976</v>
      </c>
    </row>
    <row r="265" spans="1:12" ht="12.75">
      <c r="A265" s="210" t="s">
        <v>78</v>
      </c>
      <c r="B265" s="54" t="s">
        <v>159</v>
      </c>
      <c r="C265" s="197">
        <f>CourtlandAvLove!D32</f>
        <v>25297</v>
      </c>
      <c r="D265">
        <v>51952</v>
      </c>
      <c r="E265">
        <v>25440</v>
      </c>
      <c r="F265" s="33">
        <v>40086</v>
      </c>
      <c r="G265">
        <v>38472.587</v>
      </c>
      <c r="H265">
        <v>56136</v>
      </c>
      <c r="K265" s="388">
        <v>25297</v>
      </c>
      <c r="L265" s="274">
        <f t="shared" si="5"/>
        <v>0</v>
      </c>
    </row>
    <row r="266" spans="1:12" ht="12.75">
      <c r="A266" s="210"/>
      <c r="B266" s="54" t="s">
        <v>447</v>
      </c>
      <c r="C266" s="98">
        <f>CourtlandAvLove!$R32</f>
        <v>17433</v>
      </c>
      <c r="D266">
        <v>17511</v>
      </c>
      <c r="E266">
        <v>779</v>
      </c>
      <c r="F266" s="33">
        <v>1864</v>
      </c>
      <c r="G266">
        <v>10595</v>
      </c>
      <c r="H266">
        <v>14748</v>
      </c>
      <c r="K266" s="389">
        <v>17431.615060673746</v>
      </c>
      <c r="L266" s="274">
        <f t="shared" si="5"/>
        <v>-1.384939326253516</v>
      </c>
    </row>
    <row r="267" spans="1:12" ht="12.75">
      <c r="A267" s="210"/>
      <c r="B267" s="54" t="s">
        <v>168</v>
      </c>
      <c r="C267" s="301">
        <f>Attachment7!K29</f>
        <v>0.6530681695634715</v>
      </c>
      <c r="D267" s="297">
        <v>0.5180198161155845</v>
      </c>
      <c r="E267" s="297">
        <v>0.7921782129742961</v>
      </c>
      <c r="F267" s="297">
        <v>0.629970278969957</v>
      </c>
      <c r="G267">
        <v>0.6201808211420482</v>
      </c>
      <c r="H267">
        <v>0.5721579468402495</v>
      </c>
      <c r="K267" s="396">
        <v>0.6530681695634715</v>
      </c>
      <c r="L267" s="274">
        <f t="shared" si="5"/>
        <v>0</v>
      </c>
    </row>
    <row r="268" spans="1:12" ht="12.75">
      <c r="A268" s="210"/>
      <c r="B268" s="54" t="s">
        <v>454</v>
      </c>
      <c r="C268" s="197">
        <f>CourtlandAvLove!$P32</f>
        <v>3878</v>
      </c>
      <c r="D268">
        <v>10687</v>
      </c>
      <c r="E268">
        <v>10715</v>
      </c>
      <c r="F268" s="33">
        <v>9372</v>
      </c>
      <c r="G268">
        <v>11025.58</v>
      </c>
      <c r="H268">
        <v>8788</v>
      </c>
      <c r="K268" s="388">
        <v>3878.013754985104</v>
      </c>
      <c r="L268" s="274">
        <f t="shared" si="5"/>
        <v>0.013754985103787476</v>
      </c>
    </row>
    <row r="269" spans="1:12" ht="12.75">
      <c r="A269" s="210" t="s">
        <v>78</v>
      </c>
      <c r="B269" s="54" t="s">
        <v>160</v>
      </c>
      <c r="C269" s="197">
        <f>CourtlandAvLove!$I32</f>
        <v>7657</v>
      </c>
      <c r="D269">
        <v>26596</v>
      </c>
      <c r="E269">
        <v>14130</v>
      </c>
      <c r="F269" s="33">
        <v>29265</v>
      </c>
      <c r="G269">
        <v>19094.007</v>
      </c>
      <c r="H269">
        <v>34687</v>
      </c>
      <c r="K269" s="388">
        <v>7657</v>
      </c>
      <c r="L269" s="274">
        <f t="shared" si="5"/>
        <v>0</v>
      </c>
    </row>
    <row r="270" spans="1:12" ht="12.75">
      <c r="A270" s="210" t="s">
        <v>78</v>
      </c>
      <c r="B270" s="64" t="s">
        <v>456</v>
      </c>
      <c r="C270" s="410">
        <f>K270</f>
        <v>11280</v>
      </c>
      <c r="D270">
        <v>21270</v>
      </c>
      <c r="E270">
        <v>25590</v>
      </c>
      <c r="F270" s="425">
        <v>25440</v>
      </c>
      <c r="G270">
        <v>28066</v>
      </c>
      <c r="H270" s="424">
        <v>35960</v>
      </c>
      <c r="K270" s="389">
        <v>11280</v>
      </c>
      <c r="L270" s="274">
        <f t="shared" si="5"/>
        <v>0</v>
      </c>
    </row>
    <row r="271" spans="1:12" ht="12.75">
      <c r="A271" s="210"/>
      <c r="B271" s="54" t="s">
        <v>169</v>
      </c>
      <c r="C271" s="301">
        <f>Attachment7!K30</f>
        <v>0.5383143190298507</v>
      </c>
      <c r="D271">
        <v>0.4566515194068415</v>
      </c>
      <c r="E271">
        <v>0.49614925333510324</v>
      </c>
      <c r="F271" s="302">
        <v>0.5266655348047539</v>
      </c>
      <c r="G271">
        <v>0.4887819467882661</v>
      </c>
      <c r="H271">
        <v>0.5112523973675963</v>
      </c>
      <c r="K271" s="396">
        <v>0.5383143190298507</v>
      </c>
      <c r="L271" s="274">
        <f t="shared" si="5"/>
        <v>0</v>
      </c>
    </row>
    <row r="272" spans="1:12" ht="12.75">
      <c r="A272" s="210"/>
      <c r="B272" s="54"/>
      <c r="C272" s="54"/>
      <c r="F272" s="33"/>
      <c r="K272" s="397"/>
      <c r="L272" s="274">
        <f t="shared" si="5"/>
        <v>0</v>
      </c>
    </row>
    <row r="273" spans="1:12" ht="12.75">
      <c r="A273" s="210"/>
      <c r="B273" s="155" t="s">
        <v>455</v>
      </c>
      <c r="C273" s="155"/>
      <c r="F273" s="33"/>
      <c r="K273" s="397"/>
      <c r="L273" s="274">
        <f t="shared" si="5"/>
        <v>0</v>
      </c>
    </row>
    <row r="274" spans="1:12" ht="12.75">
      <c r="A274" s="210" t="s">
        <v>78</v>
      </c>
      <c r="B274" s="54" t="s">
        <v>506</v>
      </c>
      <c r="C274" s="340">
        <f>Fed_Reservoir!C24</f>
        <v>29131.722785025202</v>
      </c>
      <c r="D274">
        <v>27100</v>
      </c>
      <c r="E274">
        <v>41081</v>
      </c>
      <c r="F274" s="33">
        <v>41081</v>
      </c>
      <c r="G274">
        <v>19801</v>
      </c>
      <c r="H274">
        <v>29853</v>
      </c>
      <c r="K274" s="389">
        <v>29131.722785025202</v>
      </c>
      <c r="L274" s="274">
        <f t="shared" si="5"/>
        <v>0</v>
      </c>
    </row>
    <row r="275" spans="1:12" ht="12.75">
      <c r="A275" s="210" t="s">
        <v>78</v>
      </c>
      <c r="B275" s="54" t="s">
        <v>507</v>
      </c>
      <c r="C275" s="340">
        <f>Fed_Reservoir!D24</f>
        <v>22914.6008</v>
      </c>
      <c r="D275">
        <v>28844</v>
      </c>
      <c r="E275">
        <v>40187</v>
      </c>
      <c r="F275" s="33">
        <v>40187</v>
      </c>
      <c r="G275">
        <v>0</v>
      </c>
      <c r="H275">
        <v>0</v>
      </c>
      <c r="K275" s="389">
        <v>22914.6008</v>
      </c>
      <c r="L275" s="274">
        <f t="shared" si="5"/>
        <v>0</v>
      </c>
    </row>
  </sheetData>
  <sheetProtection/>
  <printOptions headings="1"/>
  <pageMargins left="0.75" right="0.75" top="0.75" bottom="0.75" header="0.25" footer="0.5"/>
  <pageSetup fitToHeight="4" fitToWidth="1" horizontalDpi="600" verticalDpi="600" orientation="portrait" paperSize="3" r:id="rId3"/>
  <headerFooter alignWithMargins="0">
    <oddHeader>&amp;LRRCA
Compact Accounting&amp;C&amp;A&amp;RPage &amp;P of &amp;N</oddHeader>
  </headerFooter>
  <rowBreaks count="2" manualBreakCount="2">
    <brk id="132" max="3" man="1"/>
    <brk id="212" max="3" man="1"/>
  </rowBreaks>
  <legacyDrawing r:id="rId2"/>
</worksheet>
</file>

<file path=xl/worksheets/sheet30.xml><?xml version="1.0" encoding="utf-8"?>
<worksheet xmlns="http://schemas.openxmlformats.org/spreadsheetml/2006/main" xmlns:r="http://schemas.openxmlformats.org/officeDocument/2006/relationships">
  <dimension ref="A1:K26"/>
  <sheetViews>
    <sheetView zoomScalePageLayoutView="0" workbookViewId="0" topLeftCell="A1">
      <selection activeCell="B6" sqref="B6:D6"/>
    </sheetView>
  </sheetViews>
  <sheetFormatPr defaultColWidth="9.140625" defaultRowHeight="12.75"/>
  <cols>
    <col min="1" max="1" width="23.00390625" style="0" bestFit="1" customWidth="1"/>
    <col min="2" max="2" width="21.8515625" style="0" bestFit="1" customWidth="1"/>
    <col min="3" max="3" width="18.8515625" style="0" bestFit="1" customWidth="1"/>
    <col min="4" max="4" width="13.8515625" style="0" bestFit="1" customWidth="1"/>
    <col min="5" max="5" width="14.8515625" style="0" customWidth="1"/>
    <col min="7" max="7" width="23.7109375" style="0" customWidth="1"/>
    <col min="8" max="8" width="14.421875" style="0" customWidth="1"/>
    <col min="9" max="9" width="14.57421875" style="0" customWidth="1"/>
  </cols>
  <sheetData>
    <row r="1" spans="1:4" ht="22.5">
      <c r="A1" s="472" t="s">
        <v>500</v>
      </c>
      <c r="B1" s="473"/>
      <c r="C1" s="473"/>
      <c r="D1" s="474"/>
    </row>
    <row r="2" spans="1:10" ht="18.75">
      <c r="A2" s="465">
        <v>2008</v>
      </c>
      <c r="B2" s="466"/>
      <c r="C2" s="466"/>
      <c r="D2" s="467"/>
      <c r="G2" s="465">
        <v>2007</v>
      </c>
      <c r="H2" s="466"/>
      <c r="I2" s="466"/>
      <c r="J2" s="467"/>
    </row>
    <row r="3" spans="1:11" ht="18.75">
      <c r="A3" s="258" t="s">
        <v>486</v>
      </c>
      <c r="B3" s="259" t="s">
        <v>487</v>
      </c>
      <c r="C3" s="259" t="s">
        <v>488</v>
      </c>
      <c r="D3" s="260" t="s">
        <v>498</v>
      </c>
      <c r="E3" s="298" t="s">
        <v>501</v>
      </c>
      <c r="G3" s="258" t="s">
        <v>486</v>
      </c>
      <c r="H3" s="259" t="s">
        <v>487</v>
      </c>
      <c r="I3" s="259" t="s">
        <v>488</v>
      </c>
      <c r="J3" s="260" t="s">
        <v>498</v>
      </c>
      <c r="K3" s="298" t="s">
        <v>501</v>
      </c>
    </row>
    <row r="4" spans="1:11" ht="18.75">
      <c r="A4" s="258"/>
      <c r="B4" s="423" t="s">
        <v>497</v>
      </c>
      <c r="C4" s="423" t="s">
        <v>497</v>
      </c>
      <c r="D4" s="261" t="s">
        <v>499</v>
      </c>
      <c r="E4" s="299" t="s">
        <v>497</v>
      </c>
      <c r="G4" s="258"/>
      <c r="H4" s="468" t="s">
        <v>497</v>
      </c>
      <c r="I4" s="469"/>
      <c r="J4" s="261" t="s">
        <v>499</v>
      </c>
      <c r="K4" s="299" t="s">
        <v>497</v>
      </c>
    </row>
    <row r="5" spans="1:11" ht="18.75">
      <c r="A5" s="258" t="s">
        <v>489</v>
      </c>
      <c r="B5">
        <v>2951</v>
      </c>
      <c r="C5" s="303">
        <v>1217.3028333333334</v>
      </c>
      <c r="D5" s="297">
        <f>C5/B5</f>
        <v>0.4125051959787643</v>
      </c>
      <c r="E5">
        <v>-1499.9999999999982</v>
      </c>
      <c r="G5" s="258" t="s">
        <v>489</v>
      </c>
      <c r="H5">
        <v>3525</v>
      </c>
      <c r="I5" s="303">
        <v>1589.1</v>
      </c>
      <c r="J5" s="297">
        <f>I5/H5</f>
        <v>0.45080851063829785</v>
      </c>
      <c r="K5">
        <v>5800</v>
      </c>
    </row>
    <row r="6" spans="1:11" ht="18.75">
      <c r="A6" s="258" t="s">
        <v>490</v>
      </c>
      <c r="B6">
        <v>47785</v>
      </c>
      <c r="C6" s="303">
        <v>14038.509583333333</v>
      </c>
      <c r="D6" s="297">
        <f aca="true" t="shared" si="0" ref="D6:D12">C6/B6</f>
        <v>0.2937848610093823</v>
      </c>
      <c r="E6">
        <v>63900.00000000001</v>
      </c>
      <c r="G6" s="258" t="s">
        <v>490</v>
      </c>
      <c r="H6">
        <v>38170</v>
      </c>
      <c r="I6" s="303">
        <v>14701</v>
      </c>
      <c r="J6" s="297">
        <f aca="true" t="shared" si="1" ref="J6:J12">I6/H6</f>
        <v>0.38514540214828397</v>
      </c>
      <c r="K6">
        <v>139100</v>
      </c>
    </row>
    <row r="7" spans="1:11" ht="18.75">
      <c r="A7" s="258" t="s">
        <v>491</v>
      </c>
      <c r="B7">
        <v>6295</v>
      </c>
      <c r="C7" s="303">
        <v>1591.4419999999998</v>
      </c>
      <c r="D7" s="297">
        <f t="shared" si="0"/>
        <v>0.25281048451151705</v>
      </c>
      <c r="E7">
        <v>-1000</v>
      </c>
      <c r="G7" s="258" t="s">
        <v>491</v>
      </c>
      <c r="H7">
        <v>5708</v>
      </c>
      <c r="I7" s="303">
        <v>1548.8</v>
      </c>
      <c r="J7" s="297">
        <f t="shared" si="1"/>
        <v>0.2713384723195515</v>
      </c>
      <c r="K7">
        <v>10400</v>
      </c>
    </row>
    <row r="8" spans="1:11" ht="18.75">
      <c r="A8" s="258" t="s">
        <v>492</v>
      </c>
      <c r="B8">
        <v>4662</v>
      </c>
      <c r="C8" s="303">
        <v>1202.3989166666668</v>
      </c>
      <c r="D8" s="297">
        <f t="shared" si="0"/>
        <v>0.2579148255398256</v>
      </c>
      <c r="E8">
        <v>1500</v>
      </c>
      <c r="G8" s="258" t="s">
        <v>492</v>
      </c>
      <c r="H8">
        <v>4694</v>
      </c>
      <c r="I8" s="303">
        <v>2368.7</v>
      </c>
      <c r="J8" s="297">
        <f t="shared" si="1"/>
        <v>0.5046229228802727</v>
      </c>
      <c r="K8">
        <v>11900</v>
      </c>
    </row>
    <row r="9" spans="1:11" ht="18.75">
      <c r="A9" s="258" t="s">
        <v>493</v>
      </c>
      <c r="B9">
        <v>11792</v>
      </c>
      <c r="C9" s="303">
        <v>5526.676208333334</v>
      </c>
      <c r="D9" s="297">
        <f t="shared" si="0"/>
        <v>0.46868013978403444</v>
      </c>
      <c r="E9">
        <v>6799.999999999997</v>
      </c>
      <c r="G9" s="258" t="s">
        <v>493</v>
      </c>
      <c r="H9">
        <v>11956</v>
      </c>
      <c r="I9" s="303">
        <v>6443.9</v>
      </c>
      <c r="J9" s="297">
        <f t="shared" si="1"/>
        <v>0.5389678822348611</v>
      </c>
      <c r="K9">
        <v>8900</v>
      </c>
    </row>
    <row r="10" spans="1:11" ht="18.75">
      <c r="A10" s="258" t="s">
        <v>494</v>
      </c>
      <c r="B10">
        <v>3552</v>
      </c>
      <c r="C10" s="303">
        <v>1979.8521250000001</v>
      </c>
      <c r="D10" s="297">
        <f t="shared" si="0"/>
        <v>0.5573908009572073</v>
      </c>
      <c r="E10">
        <v>1400.0000000000005</v>
      </c>
      <c r="G10" s="258" t="s">
        <v>494</v>
      </c>
      <c r="H10">
        <v>3905</v>
      </c>
      <c r="I10" s="303">
        <v>2715.5</v>
      </c>
      <c r="J10" s="297">
        <f t="shared" si="1"/>
        <v>0.6953905249679898</v>
      </c>
      <c r="K10">
        <v>-2000</v>
      </c>
    </row>
    <row r="11" spans="1:11" ht="19.5" thickBot="1">
      <c r="A11" s="258" t="s">
        <v>495</v>
      </c>
      <c r="B11">
        <v>4855</v>
      </c>
      <c r="C11" s="303">
        <v>1223.8670000000002</v>
      </c>
      <c r="D11" s="297">
        <f t="shared" si="0"/>
        <v>0.2520838311019568</v>
      </c>
      <c r="E11" s="300">
        <v>6600.000000000002</v>
      </c>
      <c r="G11" s="258" t="s">
        <v>495</v>
      </c>
      <c r="H11">
        <v>4345</v>
      </c>
      <c r="I11" s="303">
        <v>2213.1</v>
      </c>
      <c r="J11" s="297">
        <f t="shared" si="1"/>
        <v>0.509344073647871</v>
      </c>
      <c r="K11" s="300">
        <v>1600</v>
      </c>
    </row>
    <row r="12" spans="1:10" ht="18.75">
      <c r="A12" s="262" t="s">
        <v>496</v>
      </c>
      <c r="B12">
        <v>8403</v>
      </c>
      <c r="C12" s="303">
        <v>233.25541666666663</v>
      </c>
      <c r="D12" s="297">
        <f t="shared" si="0"/>
        <v>0.02775858820262604</v>
      </c>
      <c r="E12">
        <v>99.99999999999787</v>
      </c>
      <c r="G12" s="262" t="s">
        <v>496</v>
      </c>
      <c r="H12">
        <v>8565</v>
      </c>
      <c r="I12" s="303">
        <v>878</v>
      </c>
      <c r="J12" s="297">
        <f t="shared" si="1"/>
        <v>0.10251021599532983</v>
      </c>
    </row>
    <row r="13" spans="1:8" ht="15.75">
      <c r="A13" s="62" t="s">
        <v>660</v>
      </c>
      <c r="G13" s="426" t="s">
        <v>659</v>
      </c>
      <c r="H13" s="62" t="s">
        <v>657</v>
      </c>
    </row>
    <row r="14" spans="1:7" ht="12.75">
      <c r="A14" s="62" t="s">
        <v>609</v>
      </c>
      <c r="G14" s="62" t="s">
        <v>658</v>
      </c>
    </row>
    <row r="15" ht="15">
      <c r="G15" s="384" t="s">
        <v>610</v>
      </c>
    </row>
    <row r="19" spans="1:5" ht="20.25">
      <c r="A19" s="471" t="s">
        <v>505</v>
      </c>
      <c r="B19" s="471"/>
      <c r="C19" s="471"/>
      <c r="D19" s="471"/>
      <c r="E19" s="471"/>
    </row>
    <row r="20" spans="1:5" ht="15.75">
      <c r="A20" s="264"/>
      <c r="B20" s="470" t="s">
        <v>504</v>
      </c>
      <c r="C20" s="470"/>
      <c r="D20" s="265"/>
      <c r="E20" s="266"/>
    </row>
    <row r="21" spans="1:5" ht="12.75">
      <c r="A21" s="267" t="s">
        <v>34</v>
      </c>
      <c r="B21" s="268" t="s">
        <v>175</v>
      </c>
      <c r="C21" s="268" t="s">
        <v>1</v>
      </c>
      <c r="D21" s="268" t="s">
        <v>175</v>
      </c>
      <c r="E21" s="269" t="s">
        <v>1</v>
      </c>
    </row>
    <row r="22" spans="1:5" ht="12.75">
      <c r="A22" s="267"/>
      <c r="B22" s="268" t="s">
        <v>502</v>
      </c>
      <c r="C22" s="268" t="s">
        <v>502</v>
      </c>
      <c r="D22" s="268" t="s">
        <v>503</v>
      </c>
      <c r="E22" s="269" t="s">
        <v>503</v>
      </c>
    </row>
    <row r="23" spans="1:5" ht="12.75">
      <c r="A23" s="412">
        <v>2008</v>
      </c>
      <c r="B23" s="411">
        <v>29131.722785025202</v>
      </c>
      <c r="C23" s="411">
        <v>22914.6008</v>
      </c>
      <c r="D23" s="270">
        <f>B23/(B23+C23)</f>
        <v>0.5597268121625213</v>
      </c>
      <c r="E23" s="270">
        <f>C23/(C23+B23)</f>
        <v>0.4402731878374787</v>
      </c>
    </row>
    <row r="25" spans="1:2" ht="12.75">
      <c r="A25" s="413" t="s">
        <v>648</v>
      </c>
      <c r="B25" s="62" t="s">
        <v>649</v>
      </c>
    </row>
    <row r="26" spans="1:2" ht="15.75">
      <c r="A26" s="263" t="s">
        <v>647</v>
      </c>
      <c r="B26" t="s">
        <v>531</v>
      </c>
    </row>
  </sheetData>
  <sheetProtection/>
  <mergeCells count="6">
    <mergeCell ref="A1:D1"/>
    <mergeCell ref="A2:D2"/>
    <mergeCell ref="G2:J2"/>
    <mergeCell ref="H4:I4"/>
    <mergeCell ref="A19:E19"/>
    <mergeCell ref="B20:C20"/>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selection activeCell="H30" sqref="H30"/>
    </sheetView>
  </sheetViews>
  <sheetFormatPr defaultColWidth="9.140625" defaultRowHeight="12.75"/>
  <cols>
    <col min="1" max="1" width="17.28125" style="185" customWidth="1"/>
    <col min="2" max="6" width="9.28125" style="185" bestFit="1" customWidth="1"/>
    <col min="7" max="7" width="12.421875" style="185" bestFit="1" customWidth="1"/>
    <col min="8" max="10" width="9.28125" style="185" bestFit="1" customWidth="1"/>
    <col min="11" max="11" width="12.8515625" style="185" customWidth="1"/>
    <col min="12" max="12" width="11.7109375" style="185" customWidth="1"/>
    <col min="13" max="14" width="11.00390625" style="185" customWidth="1"/>
    <col min="15" max="16" width="9.28125" style="185" bestFit="1" customWidth="1"/>
    <col min="17" max="17" width="13.28125" style="185" customWidth="1"/>
    <col min="18" max="18" width="13.421875" style="185" customWidth="1"/>
    <col min="19" max="19" width="11.8515625" style="185" bestFit="1" customWidth="1"/>
    <col min="20" max="16384" width="9.140625" style="185" customWidth="1"/>
  </cols>
  <sheetData>
    <row r="1" spans="1:19" ht="15">
      <c r="A1" s="217"/>
      <c r="B1" s="218"/>
      <c r="C1" s="218"/>
      <c r="D1" s="218"/>
      <c r="E1" s="218"/>
      <c r="F1" s="218"/>
      <c r="G1" s="218"/>
      <c r="H1" s="218"/>
      <c r="I1" s="218"/>
      <c r="J1" s="219" t="s">
        <v>280</v>
      </c>
      <c r="K1" s="218"/>
      <c r="L1" s="218"/>
      <c r="M1" s="218"/>
      <c r="N1" s="218"/>
      <c r="O1" s="218"/>
      <c r="P1" s="218">
        <v>2006</v>
      </c>
      <c r="Q1" s="218" t="s">
        <v>483</v>
      </c>
      <c r="R1" s="218"/>
      <c r="S1" s="218"/>
    </row>
    <row r="2" spans="1:19" ht="14.25">
      <c r="A2" s="217"/>
      <c r="B2" s="218"/>
      <c r="C2" s="218"/>
      <c r="D2" s="218"/>
      <c r="E2" s="218"/>
      <c r="F2" s="218"/>
      <c r="G2" s="218"/>
      <c r="H2" s="218"/>
      <c r="I2" s="218"/>
      <c r="J2" s="218"/>
      <c r="K2" s="218"/>
      <c r="L2" s="218"/>
      <c r="M2" s="218"/>
      <c r="N2" s="218"/>
      <c r="O2" s="218"/>
      <c r="P2" s="218"/>
      <c r="Q2" s="218"/>
      <c r="R2" s="218"/>
      <c r="S2" s="218"/>
    </row>
    <row r="3" spans="1:19" ht="14.25">
      <c r="A3" s="220">
        <v>1</v>
      </c>
      <c r="B3" s="220">
        <v>2</v>
      </c>
      <c r="C3" s="220">
        <v>3</v>
      </c>
      <c r="D3" s="220">
        <v>4</v>
      </c>
      <c r="E3" s="220">
        <v>5</v>
      </c>
      <c r="F3" s="220">
        <v>6</v>
      </c>
      <c r="G3" s="220">
        <v>7</v>
      </c>
      <c r="H3" s="220">
        <v>8</v>
      </c>
      <c r="I3" s="220">
        <v>9</v>
      </c>
      <c r="J3" s="220">
        <v>10</v>
      </c>
      <c r="K3" s="220">
        <v>11</v>
      </c>
      <c r="L3" s="220">
        <v>12</v>
      </c>
      <c r="M3" s="220">
        <v>13</v>
      </c>
      <c r="N3" s="220">
        <v>14</v>
      </c>
      <c r="O3" s="220">
        <v>15</v>
      </c>
      <c r="P3" s="220">
        <v>16</v>
      </c>
      <c r="Q3" s="220">
        <v>17</v>
      </c>
      <c r="R3" s="220">
        <v>18</v>
      </c>
      <c r="S3" s="220">
        <v>19</v>
      </c>
    </row>
    <row r="4" spans="1:19" ht="15" thickBot="1">
      <c r="A4" s="221"/>
      <c r="B4" s="220" t="s">
        <v>281</v>
      </c>
      <c r="C4" s="220" t="s">
        <v>281</v>
      </c>
      <c r="D4" s="220" t="s">
        <v>282</v>
      </c>
      <c r="E4" s="220" t="s">
        <v>283</v>
      </c>
      <c r="F4" s="220" t="s">
        <v>284</v>
      </c>
      <c r="G4" s="220" t="s">
        <v>282</v>
      </c>
      <c r="H4" s="220" t="s">
        <v>281</v>
      </c>
      <c r="I4" s="220" t="s">
        <v>285</v>
      </c>
      <c r="J4" s="220" t="s">
        <v>286</v>
      </c>
      <c r="K4" s="220" t="s">
        <v>287</v>
      </c>
      <c r="L4" s="220" t="s">
        <v>288</v>
      </c>
      <c r="M4" s="220" t="s">
        <v>289</v>
      </c>
      <c r="N4" s="220" t="s">
        <v>290</v>
      </c>
      <c r="O4" s="220" t="s">
        <v>291</v>
      </c>
      <c r="P4" s="220" t="s">
        <v>292</v>
      </c>
      <c r="Q4" s="220" t="s">
        <v>293</v>
      </c>
      <c r="R4" s="220" t="s">
        <v>294</v>
      </c>
      <c r="S4" s="220" t="s">
        <v>295</v>
      </c>
    </row>
    <row r="5" spans="1:19" ht="15">
      <c r="A5" s="222"/>
      <c r="B5" s="222"/>
      <c r="C5" s="222"/>
      <c r="D5" s="222"/>
      <c r="E5" s="222"/>
      <c r="F5" s="222"/>
      <c r="G5" s="222"/>
      <c r="H5" s="222"/>
      <c r="I5" s="222"/>
      <c r="J5" s="222"/>
      <c r="K5" s="223"/>
      <c r="L5" s="224"/>
      <c r="M5" s="225" t="s">
        <v>296</v>
      </c>
      <c r="N5" s="226"/>
      <c r="O5" s="226"/>
      <c r="P5" s="223"/>
      <c r="Q5" s="225" t="s">
        <v>297</v>
      </c>
      <c r="R5" s="226"/>
      <c r="S5" s="227" t="s">
        <v>298</v>
      </c>
    </row>
    <row r="6" spans="1:19" ht="15.75" thickBot="1">
      <c r="A6" s="228"/>
      <c r="B6" s="228"/>
      <c r="C6" s="228"/>
      <c r="D6" s="228"/>
      <c r="E6" s="228"/>
      <c r="F6" s="228"/>
      <c r="G6" s="228"/>
      <c r="H6" s="228"/>
      <c r="I6" s="228"/>
      <c r="J6" s="228"/>
      <c r="K6" s="229"/>
      <c r="L6" s="230"/>
      <c r="M6" s="219" t="s">
        <v>299</v>
      </c>
      <c r="N6" s="218"/>
      <c r="O6" s="218"/>
      <c r="P6" s="229"/>
      <c r="Q6" s="219" t="s">
        <v>296</v>
      </c>
      <c r="R6" s="218"/>
      <c r="S6" s="231"/>
    </row>
    <row r="7" spans="1:19" ht="15">
      <c r="A7" s="217"/>
      <c r="B7" s="217"/>
      <c r="C7" s="217"/>
      <c r="D7" s="217"/>
      <c r="E7" s="217"/>
      <c r="F7" s="217"/>
      <c r="G7" s="217"/>
      <c r="H7" s="217"/>
      <c r="I7" s="217"/>
      <c r="J7" s="228"/>
      <c r="K7" s="223"/>
      <c r="L7" s="224" t="s">
        <v>300</v>
      </c>
      <c r="M7" s="225"/>
      <c r="N7" s="223" t="s">
        <v>301</v>
      </c>
      <c r="O7" s="226"/>
      <c r="P7" s="229"/>
      <c r="Q7" s="219" t="s">
        <v>302</v>
      </c>
      <c r="R7" s="218"/>
      <c r="S7" s="231" t="s">
        <v>303</v>
      </c>
    </row>
    <row r="8" spans="1:19" ht="15.75" thickBot="1">
      <c r="A8" s="217"/>
      <c r="B8" s="217"/>
      <c r="C8" s="217"/>
      <c r="D8" s="232" t="s">
        <v>304</v>
      </c>
      <c r="E8" s="217"/>
      <c r="F8" s="217"/>
      <c r="G8" s="232" t="s">
        <v>305</v>
      </c>
      <c r="H8" s="232" t="s">
        <v>306</v>
      </c>
      <c r="I8" s="217"/>
      <c r="J8" s="228"/>
      <c r="K8" s="229"/>
      <c r="L8" s="230" t="s">
        <v>307</v>
      </c>
      <c r="M8" s="219"/>
      <c r="N8" s="229" t="s">
        <v>308</v>
      </c>
      <c r="O8" s="218"/>
      <c r="P8" s="229"/>
      <c r="Q8" s="219" t="s">
        <v>309</v>
      </c>
      <c r="R8" s="218"/>
      <c r="S8" s="231" t="s">
        <v>310</v>
      </c>
    </row>
    <row r="9" spans="1:19" ht="15">
      <c r="A9" s="217"/>
      <c r="B9" s="217"/>
      <c r="C9" s="217"/>
      <c r="D9" s="232" t="s">
        <v>311</v>
      </c>
      <c r="E9" s="232" t="s">
        <v>4</v>
      </c>
      <c r="F9" s="232" t="s">
        <v>4</v>
      </c>
      <c r="G9" s="232" t="s">
        <v>311</v>
      </c>
      <c r="H9" s="232" t="s">
        <v>312</v>
      </c>
      <c r="I9" s="232" t="s">
        <v>4</v>
      </c>
      <c r="J9" s="232" t="s">
        <v>4</v>
      </c>
      <c r="K9" s="223"/>
      <c r="L9" s="224" t="s">
        <v>313</v>
      </c>
      <c r="M9" s="225"/>
      <c r="N9" s="223" t="s">
        <v>314</v>
      </c>
      <c r="O9" s="226"/>
      <c r="P9" s="223"/>
      <c r="Q9" s="224" t="s">
        <v>313</v>
      </c>
      <c r="R9" s="225"/>
      <c r="S9" s="231" t="s">
        <v>315</v>
      </c>
    </row>
    <row r="10" spans="1:19" ht="14.25">
      <c r="A10" s="217"/>
      <c r="B10" s="232"/>
      <c r="C10" s="232"/>
      <c r="D10" s="232" t="s">
        <v>316</v>
      </c>
      <c r="E10" s="232" t="s">
        <v>317</v>
      </c>
      <c r="F10" s="232" t="s">
        <v>318</v>
      </c>
      <c r="G10" s="232" t="s">
        <v>316</v>
      </c>
      <c r="H10" s="232" t="s">
        <v>319</v>
      </c>
      <c r="I10" s="232" t="s">
        <v>317</v>
      </c>
      <c r="J10" s="232" t="s">
        <v>318</v>
      </c>
      <c r="K10" s="229"/>
      <c r="L10" s="230" t="s">
        <v>320</v>
      </c>
      <c r="M10" s="218"/>
      <c r="N10" s="229" t="s">
        <v>321</v>
      </c>
      <c r="O10" s="218"/>
      <c r="P10" s="229"/>
      <c r="Q10" s="230" t="s">
        <v>320</v>
      </c>
      <c r="R10" s="218"/>
      <c r="S10" s="231" t="s">
        <v>303</v>
      </c>
    </row>
    <row r="11" spans="1:19" ht="15" thickBot="1">
      <c r="A11" s="217"/>
      <c r="B11" s="232" t="s">
        <v>322</v>
      </c>
      <c r="C11" s="232" t="s">
        <v>322</v>
      </c>
      <c r="D11" s="232" t="s">
        <v>323</v>
      </c>
      <c r="E11" s="232" t="s">
        <v>324</v>
      </c>
      <c r="F11" s="232" t="s">
        <v>325</v>
      </c>
      <c r="G11" s="232" t="s">
        <v>323</v>
      </c>
      <c r="H11" s="232" t="s">
        <v>322</v>
      </c>
      <c r="I11" s="232" t="s">
        <v>324</v>
      </c>
      <c r="J11" s="232" t="s">
        <v>325</v>
      </c>
      <c r="K11" s="229"/>
      <c r="L11" s="230" t="s">
        <v>326</v>
      </c>
      <c r="M11" s="218"/>
      <c r="N11" s="229" t="s">
        <v>327</v>
      </c>
      <c r="O11" s="218"/>
      <c r="P11" s="229"/>
      <c r="Q11" s="230" t="s">
        <v>328</v>
      </c>
      <c r="R11" s="218"/>
      <c r="S11" s="231" t="s">
        <v>329</v>
      </c>
    </row>
    <row r="12" spans="1:19" ht="14.25">
      <c r="A12" s="232" t="s">
        <v>330</v>
      </c>
      <c r="B12" s="232" t="s">
        <v>320</v>
      </c>
      <c r="C12" s="232" t="s">
        <v>320</v>
      </c>
      <c r="D12" s="232" t="s">
        <v>320</v>
      </c>
      <c r="E12" s="232" t="s">
        <v>325</v>
      </c>
      <c r="F12" s="232" t="s">
        <v>304</v>
      </c>
      <c r="G12" s="232" t="s">
        <v>320</v>
      </c>
      <c r="H12" s="232" t="s">
        <v>320</v>
      </c>
      <c r="I12" s="232" t="s">
        <v>325</v>
      </c>
      <c r="J12" s="232" t="s">
        <v>305</v>
      </c>
      <c r="K12" s="233" t="s">
        <v>304</v>
      </c>
      <c r="L12" s="234" t="s">
        <v>305</v>
      </c>
      <c r="M12" s="235"/>
      <c r="N12" s="233" t="s">
        <v>305</v>
      </c>
      <c r="O12" s="235"/>
      <c r="P12" s="233" t="s">
        <v>304</v>
      </c>
      <c r="Q12" s="234" t="s">
        <v>305</v>
      </c>
      <c r="R12" s="235"/>
      <c r="S12" s="231"/>
    </row>
    <row r="13" spans="1:19" ht="15" thickBot="1">
      <c r="A13" s="217"/>
      <c r="B13" s="232" t="s">
        <v>331</v>
      </c>
      <c r="C13" s="232" t="s">
        <v>332</v>
      </c>
      <c r="D13" s="232" t="s">
        <v>333</v>
      </c>
      <c r="E13" s="232" t="s">
        <v>304</v>
      </c>
      <c r="F13" s="232" t="s">
        <v>333</v>
      </c>
      <c r="G13" s="232" t="s">
        <v>327</v>
      </c>
      <c r="H13" s="232" t="s">
        <v>334</v>
      </c>
      <c r="I13" s="232" t="s">
        <v>305</v>
      </c>
      <c r="J13" s="232" t="s">
        <v>327</v>
      </c>
      <c r="K13" s="236" t="s">
        <v>311</v>
      </c>
      <c r="L13" s="232" t="s">
        <v>311</v>
      </c>
      <c r="M13" s="232" t="s">
        <v>335</v>
      </c>
      <c r="N13" s="236" t="s">
        <v>311</v>
      </c>
      <c r="O13" s="232" t="s">
        <v>335</v>
      </c>
      <c r="P13" s="236" t="s">
        <v>311</v>
      </c>
      <c r="Q13" s="232" t="s">
        <v>311</v>
      </c>
      <c r="R13" s="232" t="s">
        <v>335</v>
      </c>
      <c r="S13" s="237"/>
    </row>
    <row r="14" spans="1:19" ht="15" thickBot="1">
      <c r="A14" s="222"/>
      <c r="B14" s="332"/>
      <c r="C14" s="332"/>
      <c r="D14" s="333"/>
      <c r="E14" s="309"/>
      <c r="F14" s="310"/>
      <c r="G14" s="332"/>
      <c r="H14" s="333"/>
      <c r="I14" s="238"/>
      <c r="J14" s="238"/>
      <c r="K14" s="338"/>
      <c r="L14" s="333"/>
      <c r="M14" s="239"/>
      <c r="N14" s="339"/>
      <c r="O14" s="241"/>
      <c r="P14" s="240"/>
      <c r="Q14" s="333"/>
      <c r="R14" s="241"/>
      <c r="S14" s="326"/>
    </row>
    <row r="15" spans="1:20" ht="15" thickTop="1">
      <c r="A15" s="242" t="s">
        <v>336</v>
      </c>
      <c r="B15" s="331">
        <v>3620</v>
      </c>
      <c r="C15" s="331">
        <v>2730</v>
      </c>
      <c r="D15" s="331">
        <v>0</v>
      </c>
      <c r="E15" s="327">
        <f aca="true" t="shared" si="0" ref="E15:E25">C15+D15</f>
        <v>2730</v>
      </c>
      <c r="F15" s="308">
        <f aca="true" t="shared" si="1" ref="F15:F25">B15-E15</f>
        <v>890</v>
      </c>
      <c r="G15" s="331">
        <v>0</v>
      </c>
      <c r="H15" s="331">
        <v>2047</v>
      </c>
      <c r="I15" s="330">
        <f>G15+H15</f>
        <v>2047</v>
      </c>
      <c r="J15" s="243">
        <f>C15-I15</f>
        <v>683</v>
      </c>
      <c r="K15" s="337">
        <f>ROUNDDOWN(F15-(F15*C15/E15),0)</f>
        <v>0</v>
      </c>
      <c r="L15" s="337">
        <f>ROUND((F15-K15)*(G15/I15),0)</f>
        <v>0</v>
      </c>
      <c r="M15" s="327">
        <f aca="true" t="shared" si="2" ref="M15:M25">F15-L15-K15</f>
        <v>890</v>
      </c>
      <c r="N15" s="337">
        <f>ROUND(+J15*G15/I15,0)</f>
        <v>0</v>
      </c>
      <c r="O15" s="328">
        <f>J15-N15</f>
        <v>683</v>
      </c>
      <c r="P15" s="311">
        <v>0</v>
      </c>
      <c r="Q15" s="337">
        <f aca="true" t="shared" si="3" ref="Q15:R26">G15+L15+N15</f>
        <v>0</v>
      </c>
      <c r="R15" s="334">
        <f t="shared" si="3"/>
        <v>3620</v>
      </c>
      <c r="S15" s="325">
        <f>P15+Q15+R15</f>
        <v>3620</v>
      </c>
      <c r="T15" s="307"/>
    </row>
    <row r="16" spans="1:20" ht="14.25">
      <c r="A16" s="248" t="s">
        <v>337</v>
      </c>
      <c r="B16" s="329">
        <v>6026</v>
      </c>
      <c r="C16" s="329">
        <v>5060</v>
      </c>
      <c r="D16" s="329">
        <v>0</v>
      </c>
      <c r="E16" s="328">
        <f t="shared" si="0"/>
        <v>5060</v>
      </c>
      <c r="F16" s="304">
        <f t="shared" si="1"/>
        <v>966</v>
      </c>
      <c r="G16" s="329">
        <v>0</v>
      </c>
      <c r="H16" s="329">
        <v>4076</v>
      </c>
      <c r="I16" s="328">
        <f>G16+H16</f>
        <v>4076</v>
      </c>
      <c r="J16" s="304">
        <f>C16-I16</f>
        <v>984</v>
      </c>
      <c r="K16" s="336">
        <v>0</v>
      </c>
      <c r="L16" s="336">
        <v>0</v>
      </c>
      <c r="M16" s="328">
        <f t="shared" si="2"/>
        <v>966</v>
      </c>
      <c r="N16" s="336">
        <v>0</v>
      </c>
      <c r="O16" s="328">
        <f>J16-N16</f>
        <v>984</v>
      </c>
      <c r="P16" s="244">
        <v>0</v>
      </c>
      <c r="Q16" s="336">
        <f t="shared" si="3"/>
        <v>0</v>
      </c>
      <c r="R16" s="335">
        <f t="shared" si="3"/>
        <v>6026</v>
      </c>
      <c r="S16" s="323">
        <f aca="true" t="shared" si="4" ref="S16:S26">P16+Q16+R16</f>
        <v>6026</v>
      </c>
      <c r="T16" s="307"/>
    </row>
    <row r="17" spans="1:20" ht="14.25">
      <c r="A17" s="248" t="s">
        <v>338</v>
      </c>
      <c r="B17" s="329">
        <v>5351</v>
      </c>
      <c r="C17" s="329">
        <v>4450</v>
      </c>
      <c r="D17" s="329">
        <v>0</v>
      </c>
      <c r="E17" s="328">
        <f t="shared" si="0"/>
        <v>4450</v>
      </c>
      <c r="F17" s="304">
        <f t="shared" si="1"/>
        <v>901</v>
      </c>
      <c r="G17" s="329">
        <v>0</v>
      </c>
      <c r="H17" s="329">
        <v>3602</v>
      </c>
      <c r="I17" s="328">
        <f aca="true" t="shared" si="5" ref="I17:I26">G17+H17</f>
        <v>3602</v>
      </c>
      <c r="J17" s="304">
        <f aca="true" t="shared" si="6" ref="J17:J26">C17-I17</f>
        <v>848</v>
      </c>
      <c r="K17" s="336">
        <f>ROUNDDOWN(F17-(F17*C17/E17),0)</f>
        <v>0</v>
      </c>
      <c r="L17" s="336">
        <f aca="true" t="shared" si="7" ref="L17:L23">ROUND((F17-K17)*(G17/I17),0)</f>
        <v>0</v>
      </c>
      <c r="M17" s="328">
        <f t="shared" si="2"/>
        <v>901</v>
      </c>
      <c r="N17" s="336">
        <f aca="true" t="shared" si="8" ref="N17:N23">ROUND(+J17*G17/I17,0)</f>
        <v>0</v>
      </c>
      <c r="O17" s="328">
        <f>J17-N17</f>
        <v>848</v>
      </c>
      <c r="P17" s="244">
        <v>0</v>
      </c>
      <c r="Q17" s="336">
        <f t="shared" si="3"/>
        <v>0</v>
      </c>
      <c r="R17" s="335">
        <f t="shared" si="3"/>
        <v>5351</v>
      </c>
      <c r="S17" s="323">
        <f t="shared" si="4"/>
        <v>5351</v>
      </c>
      <c r="T17" s="307"/>
    </row>
    <row r="18" spans="1:20" ht="14.25">
      <c r="A18" s="248" t="s">
        <v>339</v>
      </c>
      <c r="B18" s="329">
        <v>5814</v>
      </c>
      <c r="C18" s="329">
        <v>4910</v>
      </c>
      <c r="D18" s="329">
        <v>0</v>
      </c>
      <c r="E18" s="328">
        <f t="shared" si="0"/>
        <v>4910</v>
      </c>
      <c r="F18" s="304">
        <f t="shared" si="1"/>
        <v>904</v>
      </c>
      <c r="G18" s="329">
        <v>0</v>
      </c>
      <c r="H18" s="329">
        <v>3941</v>
      </c>
      <c r="I18" s="328">
        <f t="shared" si="5"/>
        <v>3941</v>
      </c>
      <c r="J18" s="304">
        <f t="shared" si="6"/>
        <v>969</v>
      </c>
      <c r="K18" s="336">
        <f aca="true" t="shared" si="9" ref="K18:K23">ROUNDDOWN(F18-(F18*C18/E18),0)</f>
        <v>0</v>
      </c>
      <c r="L18" s="336">
        <f t="shared" si="7"/>
        <v>0</v>
      </c>
      <c r="M18" s="328">
        <f t="shared" si="2"/>
        <v>904</v>
      </c>
      <c r="N18" s="336">
        <f t="shared" si="8"/>
        <v>0</v>
      </c>
      <c r="O18" s="328">
        <f>J18-N18</f>
        <v>969</v>
      </c>
      <c r="P18" s="244">
        <v>0</v>
      </c>
      <c r="Q18" s="336">
        <f t="shared" si="3"/>
        <v>0</v>
      </c>
      <c r="R18" s="335">
        <f t="shared" si="3"/>
        <v>5814</v>
      </c>
      <c r="S18" s="323">
        <f t="shared" si="4"/>
        <v>5814</v>
      </c>
      <c r="T18" s="307"/>
    </row>
    <row r="19" spans="1:20" ht="14.25">
      <c r="A19" s="248" t="s">
        <v>340</v>
      </c>
      <c r="B19" s="329">
        <v>6446</v>
      </c>
      <c r="C19" s="329">
        <v>5640</v>
      </c>
      <c r="D19" s="329">
        <v>0</v>
      </c>
      <c r="E19" s="328">
        <f t="shared" si="0"/>
        <v>5640</v>
      </c>
      <c r="F19" s="304">
        <f t="shared" si="1"/>
        <v>806</v>
      </c>
      <c r="G19" s="329">
        <v>0</v>
      </c>
      <c r="H19" s="329">
        <v>4447</v>
      </c>
      <c r="I19" s="328">
        <f t="shared" si="5"/>
        <v>4447</v>
      </c>
      <c r="J19" s="304">
        <f t="shared" si="6"/>
        <v>1193</v>
      </c>
      <c r="K19" s="336">
        <f t="shared" si="9"/>
        <v>0</v>
      </c>
      <c r="L19" s="336">
        <f t="shared" si="7"/>
        <v>0</v>
      </c>
      <c r="M19" s="328">
        <f t="shared" si="2"/>
        <v>806</v>
      </c>
      <c r="N19" s="336">
        <f t="shared" si="8"/>
        <v>0</v>
      </c>
      <c r="O19" s="328">
        <f>J19-N19</f>
        <v>1193</v>
      </c>
      <c r="P19" s="244">
        <v>0</v>
      </c>
      <c r="Q19" s="336">
        <f t="shared" si="3"/>
        <v>0</v>
      </c>
      <c r="R19" s="335">
        <f t="shared" si="3"/>
        <v>6446</v>
      </c>
      <c r="S19" s="323">
        <f t="shared" si="4"/>
        <v>6446</v>
      </c>
      <c r="T19" s="307"/>
    </row>
    <row r="20" spans="1:20" ht="14.25">
      <c r="A20" s="248" t="s">
        <v>341</v>
      </c>
      <c r="B20" s="329">
        <v>7268</v>
      </c>
      <c r="C20" s="329">
        <v>5380</v>
      </c>
      <c r="D20" s="329">
        <v>0</v>
      </c>
      <c r="E20" s="328">
        <f t="shared" si="0"/>
        <v>5380</v>
      </c>
      <c r="F20" s="304">
        <f t="shared" si="1"/>
        <v>1888</v>
      </c>
      <c r="G20" s="329">
        <v>1354</v>
      </c>
      <c r="H20" s="329">
        <v>1806</v>
      </c>
      <c r="I20" s="328">
        <f t="shared" si="5"/>
        <v>3160</v>
      </c>
      <c r="J20" s="304">
        <f>C20-I20</f>
        <v>2220</v>
      </c>
      <c r="K20" s="336">
        <f t="shared" si="9"/>
        <v>0</v>
      </c>
      <c r="L20" s="336">
        <f t="shared" si="7"/>
        <v>809</v>
      </c>
      <c r="M20" s="328">
        <f t="shared" si="2"/>
        <v>1079</v>
      </c>
      <c r="N20" s="336">
        <f t="shared" si="8"/>
        <v>951</v>
      </c>
      <c r="O20" s="328">
        <f aca="true" t="shared" si="10" ref="O20:O25">J20-N20</f>
        <v>1269</v>
      </c>
      <c r="P20" s="244">
        <v>0</v>
      </c>
      <c r="Q20" s="336">
        <f t="shared" si="3"/>
        <v>3114</v>
      </c>
      <c r="R20" s="335">
        <f t="shared" si="3"/>
        <v>4154</v>
      </c>
      <c r="S20" s="323">
        <f t="shared" si="4"/>
        <v>7268</v>
      </c>
      <c r="T20" s="307"/>
    </row>
    <row r="21" spans="1:20" ht="14.25">
      <c r="A21" s="248" t="s">
        <v>342</v>
      </c>
      <c r="B21" s="329">
        <v>14337</v>
      </c>
      <c r="C21" s="329">
        <v>12250</v>
      </c>
      <c r="D21" s="329">
        <v>0</v>
      </c>
      <c r="E21" s="328">
        <f t="shared" si="0"/>
        <v>12250</v>
      </c>
      <c r="F21" s="304">
        <f t="shared" si="1"/>
        <v>2087</v>
      </c>
      <c r="G21" s="329">
        <v>5132</v>
      </c>
      <c r="H21" s="329">
        <v>5318</v>
      </c>
      <c r="I21" s="328">
        <f t="shared" si="5"/>
        <v>10450</v>
      </c>
      <c r="J21" s="304">
        <f t="shared" si="6"/>
        <v>1800</v>
      </c>
      <c r="K21" s="336">
        <f t="shared" si="9"/>
        <v>0</v>
      </c>
      <c r="L21" s="336">
        <f t="shared" si="7"/>
        <v>1025</v>
      </c>
      <c r="M21" s="328">
        <f t="shared" si="2"/>
        <v>1062</v>
      </c>
      <c r="N21" s="336">
        <f t="shared" si="8"/>
        <v>884</v>
      </c>
      <c r="O21" s="328">
        <f t="shared" si="10"/>
        <v>916</v>
      </c>
      <c r="P21" s="244">
        <v>0</v>
      </c>
      <c r="Q21" s="336">
        <f t="shared" si="3"/>
        <v>7041</v>
      </c>
      <c r="R21" s="335">
        <f t="shared" si="3"/>
        <v>7296</v>
      </c>
      <c r="S21" s="323">
        <f t="shared" si="4"/>
        <v>14337</v>
      </c>
      <c r="T21" s="307"/>
    </row>
    <row r="22" spans="1:20" ht="14.25">
      <c r="A22" s="248" t="s">
        <v>343</v>
      </c>
      <c r="B22" s="329">
        <v>11873</v>
      </c>
      <c r="C22" s="329">
        <v>11220</v>
      </c>
      <c r="D22" s="329">
        <v>0</v>
      </c>
      <c r="E22" s="328">
        <f t="shared" si="0"/>
        <v>11220</v>
      </c>
      <c r="F22" s="304">
        <f t="shared" si="1"/>
        <v>653</v>
      </c>
      <c r="G22" s="329">
        <v>3769</v>
      </c>
      <c r="H22" s="329">
        <v>5975</v>
      </c>
      <c r="I22" s="328">
        <f t="shared" si="5"/>
        <v>9744</v>
      </c>
      <c r="J22" s="304">
        <f t="shared" si="6"/>
        <v>1476</v>
      </c>
      <c r="K22" s="336">
        <f t="shared" si="9"/>
        <v>0</v>
      </c>
      <c r="L22" s="336">
        <f t="shared" si="7"/>
        <v>253</v>
      </c>
      <c r="M22" s="328">
        <f t="shared" si="2"/>
        <v>400</v>
      </c>
      <c r="N22" s="336">
        <f t="shared" si="8"/>
        <v>571</v>
      </c>
      <c r="O22" s="328">
        <f t="shared" si="10"/>
        <v>905</v>
      </c>
      <c r="P22" s="244">
        <v>0</v>
      </c>
      <c r="Q22" s="336">
        <f t="shared" si="3"/>
        <v>4593</v>
      </c>
      <c r="R22" s="335">
        <f t="shared" si="3"/>
        <v>7280</v>
      </c>
      <c r="S22" s="323">
        <f t="shared" si="4"/>
        <v>11873</v>
      </c>
      <c r="T22" s="307"/>
    </row>
    <row r="23" spans="1:20" ht="14.25">
      <c r="A23" s="248" t="s">
        <v>344</v>
      </c>
      <c r="B23" s="329">
        <v>4716</v>
      </c>
      <c r="C23" s="329">
        <v>4040</v>
      </c>
      <c r="D23" s="329">
        <v>0</v>
      </c>
      <c r="E23" s="328">
        <f t="shared" si="0"/>
        <v>4040</v>
      </c>
      <c r="F23" s="304">
        <f t="shared" si="1"/>
        <v>676</v>
      </c>
      <c r="G23" s="329">
        <v>0</v>
      </c>
      <c r="H23" s="329">
        <v>3227</v>
      </c>
      <c r="I23" s="328">
        <f t="shared" si="5"/>
        <v>3227</v>
      </c>
      <c r="J23" s="304">
        <f t="shared" si="6"/>
        <v>813</v>
      </c>
      <c r="K23" s="336">
        <f t="shared" si="9"/>
        <v>0</v>
      </c>
      <c r="L23" s="336">
        <f t="shared" si="7"/>
        <v>0</v>
      </c>
      <c r="M23" s="328">
        <f t="shared" si="2"/>
        <v>676</v>
      </c>
      <c r="N23" s="336">
        <f t="shared" si="8"/>
        <v>0</v>
      </c>
      <c r="O23" s="328">
        <f t="shared" si="10"/>
        <v>813</v>
      </c>
      <c r="P23" s="244">
        <v>0</v>
      </c>
      <c r="Q23" s="336">
        <f t="shared" si="3"/>
        <v>0</v>
      </c>
      <c r="R23" s="335">
        <f t="shared" si="3"/>
        <v>4716</v>
      </c>
      <c r="S23" s="323">
        <f t="shared" si="4"/>
        <v>4716</v>
      </c>
      <c r="T23" s="307"/>
    </row>
    <row r="24" spans="1:19" ht="14.25">
      <c r="A24" s="248" t="s">
        <v>345</v>
      </c>
      <c r="B24" s="329">
        <v>400</v>
      </c>
      <c r="C24" s="329">
        <v>456</v>
      </c>
      <c r="D24" s="329">
        <v>0</v>
      </c>
      <c r="E24" s="328">
        <f t="shared" si="0"/>
        <v>456</v>
      </c>
      <c r="F24" s="304">
        <f t="shared" si="1"/>
        <v>-56</v>
      </c>
      <c r="G24" s="329">
        <v>0</v>
      </c>
      <c r="H24" s="329">
        <v>248</v>
      </c>
      <c r="I24" s="328">
        <f t="shared" si="5"/>
        <v>248</v>
      </c>
      <c r="J24" s="304">
        <f t="shared" si="6"/>
        <v>208</v>
      </c>
      <c r="K24" s="336">
        <v>0</v>
      </c>
      <c r="L24" s="336">
        <v>0</v>
      </c>
      <c r="M24" s="328">
        <f t="shared" si="2"/>
        <v>-56</v>
      </c>
      <c r="N24" s="336">
        <v>0</v>
      </c>
      <c r="O24" s="328">
        <f t="shared" si="10"/>
        <v>208</v>
      </c>
      <c r="P24" s="244">
        <v>0</v>
      </c>
      <c r="Q24" s="336">
        <f t="shared" si="3"/>
        <v>0</v>
      </c>
      <c r="R24" s="335">
        <f t="shared" si="3"/>
        <v>400</v>
      </c>
      <c r="S24" s="323">
        <f t="shared" si="4"/>
        <v>400</v>
      </c>
    </row>
    <row r="25" spans="1:19" ht="14.25">
      <c r="A25" s="248" t="s">
        <v>346</v>
      </c>
      <c r="B25" s="329">
        <v>0</v>
      </c>
      <c r="C25" s="329">
        <v>0</v>
      </c>
      <c r="D25" s="329">
        <v>0</v>
      </c>
      <c r="E25" s="328">
        <f t="shared" si="0"/>
        <v>0</v>
      </c>
      <c r="F25" s="304">
        <f t="shared" si="1"/>
        <v>0</v>
      </c>
      <c r="G25" s="329">
        <v>0</v>
      </c>
      <c r="H25" s="329">
        <v>0</v>
      </c>
      <c r="I25" s="328">
        <f t="shared" si="5"/>
        <v>0</v>
      </c>
      <c r="J25" s="304">
        <f t="shared" si="6"/>
        <v>0</v>
      </c>
      <c r="K25" s="336">
        <v>0</v>
      </c>
      <c r="L25" s="336">
        <v>0</v>
      </c>
      <c r="M25" s="328">
        <f t="shared" si="2"/>
        <v>0</v>
      </c>
      <c r="N25" s="336">
        <v>0</v>
      </c>
      <c r="O25" s="328">
        <f t="shared" si="10"/>
        <v>0</v>
      </c>
      <c r="P25" s="244">
        <v>0</v>
      </c>
      <c r="Q25" s="336">
        <f t="shared" si="3"/>
        <v>0</v>
      </c>
      <c r="R25" s="335">
        <f t="shared" si="3"/>
        <v>0</v>
      </c>
      <c r="S25" s="323">
        <f t="shared" si="4"/>
        <v>0</v>
      </c>
    </row>
    <row r="26" spans="1:19" ht="14.25">
      <c r="A26" s="248" t="s">
        <v>347</v>
      </c>
      <c r="B26" s="329">
        <v>0</v>
      </c>
      <c r="C26" s="329">
        <v>0</v>
      </c>
      <c r="D26" s="329">
        <v>0</v>
      </c>
      <c r="E26" s="328">
        <f>C26+D26</f>
        <v>0</v>
      </c>
      <c r="F26" s="304">
        <f>B26-E26</f>
        <v>0</v>
      </c>
      <c r="G26" s="329">
        <v>0</v>
      </c>
      <c r="H26" s="329">
        <v>0</v>
      </c>
      <c r="I26" s="328">
        <f t="shared" si="5"/>
        <v>0</v>
      </c>
      <c r="J26" s="304">
        <f t="shared" si="6"/>
        <v>0</v>
      </c>
      <c r="K26" s="336">
        <v>0</v>
      </c>
      <c r="L26" s="336">
        <v>0</v>
      </c>
      <c r="M26" s="328">
        <f>F26-L26-K26</f>
        <v>0</v>
      </c>
      <c r="N26" s="336">
        <v>0</v>
      </c>
      <c r="O26" s="328">
        <f>J26-N26</f>
        <v>0</v>
      </c>
      <c r="P26" s="244">
        <v>0</v>
      </c>
      <c r="Q26" s="336">
        <f t="shared" si="3"/>
        <v>0</v>
      </c>
      <c r="R26" s="335">
        <f>H26+M26+O26</f>
        <v>0</v>
      </c>
      <c r="S26" s="323">
        <f t="shared" si="4"/>
        <v>0</v>
      </c>
    </row>
    <row r="27" spans="1:19" ht="15" thickBot="1">
      <c r="A27" s="248"/>
      <c r="B27" s="246"/>
      <c r="C27" s="246"/>
      <c r="D27" s="246"/>
      <c r="E27" s="245"/>
      <c r="F27" s="245"/>
      <c r="G27" s="246"/>
      <c r="H27" s="246"/>
      <c r="I27" s="245"/>
      <c r="J27" s="245"/>
      <c r="K27" s="311"/>
      <c r="L27" s="246"/>
      <c r="M27" s="245"/>
      <c r="N27" s="311"/>
      <c r="O27" s="245"/>
      <c r="P27" s="244"/>
      <c r="Q27" s="246"/>
      <c r="R27" s="245"/>
      <c r="S27" s="324"/>
    </row>
    <row r="28" spans="1:19" ht="15" thickTop="1">
      <c r="A28" s="242" t="s">
        <v>4</v>
      </c>
      <c r="B28" s="243">
        <f>SUM(B15:B26)</f>
        <v>65851</v>
      </c>
      <c r="C28" s="243">
        <f>SUM(C15:C26)</f>
        <v>56136</v>
      </c>
      <c r="D28" s="243">
        <f>SUM(D15:D26)</f>
        <v>0</v>
      </c>
      <c r="E28" s="322">
        <f aca="true" t="shared" si="11" ref="E28:S28">SUM(E15:E26)</f>
        <v>56136</v>
      </c>
      <c r="F28" s="322">
        <f t="shared" si="11"/>
        <v>9715</v>
      </c>
      <c r="G28" s="243">
        <f t="shared" si="11"/>
        <v>10255</v>
      </c>
      <c r="H28" s="243">
        <f t="shared" si="11"/>
        <v>34687</v>
      </c>
      <c r="I28" s="243">
        <f t="shared" si="11"/>
        <v>44942</v>
      </c>
      <c r="J28" s="243">
        <f t="shared" si="11"/>
        <v>11194</v>
      </c>
      <c r="K28" s="247">
        <f t="shared" si="11"/>
        <v>0</v>
      </c>
      <c r="L28" s="243">
        <f t="shared" si="11"/>
        <v>2087</v>
      </c>
      <c r="M28" s="322">
        <f t="shared" si="11"/>
        <v>7628</v>
      </c>
      <c r="N28" s="247">
        <f t="shared" si="11"/>
        <v>2406</v>
      </c>
      <c r="O28" s="243">
        <f t="shared" si="11"/>
        <v>8788</v>
      </c>
      <c r="P28" s="247">
        <f t="shared" si="11"/>
        <v>0</v>
      </c>
      <c r="Q28" s="243">
        <f t="shared" si="11"/>
        <v>14748</v>
      </c>
      <c r="R28" s="322">
        <f t="shared" si="11"/>
        <v>51103</v>
      </c>
      <c r="S28" s="311">
        <f t="shared" si="11"/>
        <v>65851</v>
      </c>
    </row>
    <row r="30" ht="14.25">
      <c r="H30" s="185">
        <f>SUM(H16:H22)</f>
        <v>29165</v>
      </c>
    </row>
    <row r="31" ht="14.25">
      <c r="I31" s="307"/>
    </row>
    <row r="33" ht="14.25">
      <c r="B33" s="185" t="s">
        <v>558</v>
      </c>
    </row>
    <row r="37" spans="3:5" ht="14.25">
      <c r="C37" s="185">
        <f>B20+B21+B22</f>
        <v>33478</v>
      </c>
      <c r="D37" s="185">
        <f>C20+C21+C22</f>
        <v>28850</v>
      </c>
      <c r="E37" s="185">
        <f>D37+L28</f>
        <v>30937</v>
      </c>
    </row>
  </sheetData>
  <sheetProtection/>
  <printOptions/>
  <pageMargins left="0.75" right="0.75" top="1" bottom="1" header="0.5" footer="0.5"/>
  <pageSetup fitToHeight="1" fitToWidth="1" horizontalDpi="600" verticalDpi="600" orientation="landscape" scale="59" r:id="rId1"/>
  <headerFooter alignWithMargins="0">
    <oddHeader>&amp;LRRCA
Compact Accounting&amp;RPage &amp;P of &amp;N</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G66"/>
  <sheetViews>
    <sheetView zoomScalePageLayoutView="0" workbookViewId="0" topLeftCell="A1">
      <selection activeCell="B2" sqref="B2"/>
    </sheetView>
  </sheetViews>
  <sheetFormatPr defaultColWidth="9.140625" defaultRowHeight="12.75"/>
  <cols>
    <col min="1" max="1" width="74.7109375" style="0" customWidth="1"/>
    <col min="2" max="2" width="17.28125" style="0" bestFit="1" customWidth="1"/>
  </cols>
  <sheetData>
    <row r="1" spans="1:7" ht="15.75">
      <c r="A1" s="59" t="s">
        <v>170</v>
      </c>
      <c r="B1" s="5">
        <f>INPUT!C1</f>
        <v>2008</v>
      </c>
      <c r="C1">
        <v>2003</v>
      </c>
      <c r="D1">
        <v>2004</v>
      </c>
      <c r="E1" s="275">
        <v>2005</v>
      </c>
      <c r="F1" s="275">
        <v>2006</v>
      </c>
      <c r="G1" s="275">
        <v>2007</v>
      </c>
    </row>
    <row r="2" spans="3:4" ht="12.75">
      <c r="C2" s="1"/>
      <c r="D2" s="1"/>
    </row>
    <row r="3" spans="1:4" ht="15.75">
      <c r="A3" s="10" t="s">
        <v>171</v>
      </c>
      <c r="B3" s="294"/>
      <c r="C3" s="1"/>
      <c r="D3" s="1"/>
    </row>
    <row r="4" spans="1:4" ht="12.75">
      <c r="A4" s="8" t="s">
        <v>172</v>
      </c>
      <c r="B4" s="295"/>
      <c r="C4" s="1"/>
      <c r="D4" s="1"/>
    </row>
    <row r="5" spans="1:7" ht="12.75">
      <c r="A5" s="52" t="str">
        <f>INPUT!B46</f>
        <v>Imported Water Nebraska</v>
      </c>
      <c r="B5" s="52">
        <f>+INPUT!C46</f>
        <v>0</v>
      </c>
      <c r="C5">
        <v>0</v>
      </c>
      <c r="D5">
        <v>0</v>
      </c>
      <c r="E5">
        <v>0</v>
      </c>
      <c r="F5">
        <v>0</v>
      </c>
      <c r="G5">
        <v>0</v>
      </c>
    </row>
    <row r="6" spans="1:7" ht="12.75">
      <c r="A6" s="52" t="str">
        <f>INPUT!B4</f>
        <v>GW CBCU Colorado</v>
      </c>
      <c r="B6" s="52">
        <f>+INPUT!C4</f>
        <v>14946</v>
      </c>
      <c r="C6">
        <v>14023</v>
      </c>
      <c r="D6">
        <v>14373</v>
      </c>
      <c r="E6">
        <v>14359</v>
      </c>
      <c r="F6">
        <v>14301</v>
      </c>
      <c r="G6">
        <v>14762</v>
      </c>
    </row>
    <row r="7" spans="1:7" ht="12.75">
      <c r="A7" s="52" t="str">
        <f>INPUT!B5</f>
        <v>GW CBCU Kansas</v>
      </c>
      <c r="B7" s="52">
        <f>+INPUT!C5</f>
        <v>24</v>
      </c>
      <c r="C7">
        <v>17</v>
      </c>
      <c r="D7">
        <v>16</v>
      </c>
      <c r="E7">
        <v>17</v>
      </c>
      <c r="F7">
        <v>12</v>
      </c>
      <c r="G7">
        <v>14</v>
      </c>
    </row>
    <row r="8" spans="1:7" ht="12" customHeight="1">
      <c r="A8" s="52" t="str">
        <f>INPUT!B6</f>
        <v>GW CBCU Nebraska</v>
      </c>
      <c r="B8" s="52">
        <f>+INPUT!C6</f>
        <v>1471</v>
      </c>
      <c r="C8">
        <v>1402</v>
      </c>
      <c r="D8">
        <v>1446</v>
      </c>
      <c r="E8">
        <v>1443</v>
      </c>
      <c r="F8">
        <v>1366</v>
      </c>
      <c r="G8">
        <v>1422</v>
      </c>
    </row>
    <row r="9" spans="1:2" ht="12" customHeight="1">
      <c r="A9" s="9"/>
      <c r="B9" s="9"/>
    </row>
    <row r="10" spans="1:2" ht="12.75">
      <c r="A10" s="5" t="s">
        <v>174</v>
      </c>
      <c r="B10" s="2"/>
    </row>
    <row r="11" spans="1:7" ht="12.75">
      <c r="A11" s="56" t="str">
        <f>INPUT!B183</f>
        <v>North Fork Republican River At Colorado-Nebraska State Line</v>
      </c>
      <c r="B11" s="52">
        <f>+INPUT!C183</f>
        <v>21636</v>
      </c>
      <c r="C11">
        <v>17700</v>
      </c>
      <c r="D11">
        <v>19759</v>
      </c>
      <c r="E11">
        <v>21060</v>
      </c>
      <c r="F11">
        <v>17608</v>
      </c>
      <c r="G11">
        <v>20565.5</v>
      </c>
    </row>
    <row r="12" spans="1:7" ht="12.75">
      <c r="A12" s="56" t="str">
        <f>INPUT!B231</f>
        <v>Haigler Canal Diversions - Colorado</v>
      </c>
      <c r="B12" s="52">
        <f>+INPUT!C231</f>
        <v>465</v>
      </c>
      <c r="C12">
        <v>1948</v>
      </c>
      <c r="D12">
        <v>2072</v>
      </c>
      <c r="E12">
        <v>2423</v>
      </c>
      <c r="F12">
        <v>2654</v>
      </c>
      <c r="G12">
        <v>2512</v>
      </c>
    </row>
    <row r="13" spans="1:7" ht="12.75">
      <c r="A13" s="56" t="str">
        <f>INPUT!B62</f>
        <v>SW Diversions - Irrigation -Non-Federal Canals- Colorado</v>
      </c>
      <c r="B13" s="52">
        <f>+INPUT!C62</f>
        <v>590</v>
      </c>
      <c r="C13">
        <v>2410</v>
      </c>
      <c r="D13">
        <v>2888.7</v>
      </c>
      <c r="E13">
        <v>2790</v>
      </c>
      <c r="F13">
        <v>2496</v>
      </c>
      <c r="G13">
        <v>2449</v>
      </c>
    </row>
    <row r="14" spans="1:7" ht="12.75">
      <c r="A14" s="102" t="str">
        <f>INPUT!B63</f>
        <v>SW Diversions - Irrigation - Small Pumps - Colorado</v>
      </c>
      <c r="B14" s="103">
        <f>INPUT!C63</f>
        <v>0</v>
      </c>
      <c r="C14">
        <v>0</v>
      </c>
      <c r="D14">
        <v>0</v>
      </c>
      <c r="E14">
        <v>0</v>
      </c>
      <c r="F14">
        <v>0</v>
      </c>
      <c r="G14">
        <v>0</v>
      </c>
    </row>
    <row r="15" spans="1:7" ht="12.75">
      <c r="A15" s="56" t="str">
        <f>INPUT!B64</f>
        <v>SW Diversions - M&amp;I - Colorado</v>
      </c>
      <c r="B15" s="52">
        <f>+INPUT!C64</f>
        <v>0</v>
      </c>
      <c r="C15">
        <v>0</v>
      </c>
      <c r="D15">
        <v>0</v>
      </c>
      <c r="E15">
        <v>0</v>
      </c>
      <c r="F15">
        <v>0</v>
      </c>
      <c r="G15">
        <v>0</v>
      </c>
    </row>
    <row r="16" spans="1:7" ht="12.75">
      <c r="A16" s="56" t="str">
        <f>INPUT!B232</f>
        <v>Haigler Canal Diversions - Nebraska</v>
      </c>
      <c r="B16" s="52">
        <f>+INPUT!C232</f>
        <v>4995</v>
      </c>
      <c r="C16">
        <v>4965</v>
      </c>
      <c r="D16">
        <v>3732</v>
      </c>
      <c r="E16">
        <v>4745</v>
      </c>
      <c r="F16">
        <v>4418</v>
      </c>
      <c r="G16">
        <v>4522</v>
      </c>
    </row>
    <row r="17" spans="1:7" ht="12.75">
      <c r="A17" s="56" t="str">
        <f>INPUT!B153</f>
        <v>Non-Federal Reservoir Evaporation - Colorado</v>
      </c>
      <c r="B17" s="52">
        <f>+INPUT!C153</f>
        <v>38</v>
      </c>
      <c r="C17">
        <v>0</v>
      </c>
      <c r="D17">
        <v>46.16333333333334</v>
      </c>
      <c r="E17">
        <v>43</v>
      </c>
      <c r="F17">
        <v>50</v>
      </c>
      <c r="G17">
        <v>38</v>
      </c>
    </row>
    <row r="18" spans="1:7" ht="12.75">
      <c r="A18" s="52" t="str">
        <f>+INPUT!B199</f>
        <v>North Fork Flood Flow</v>
      </c>
      <c r="B18" s="52">
        <f>+INPUT!C199</f>
        <v>0</v>
      </c>
      <c r="C18">
        <v>0</v>
      </c>
      <c r="D18">
        <v>0</v>
      </c>
      <c r="E18">
        <v>0</v>
      </c>
      <c r="F18">
        <v>0</v>
      </c>
      <c r="G18">
        <v>0</v>
      </c>
    </row>
    <row r="19" spans="1:2" ht="12.75">
      <c r="A19" s="6" t="s">
        <v>78</v>
      </c>
      <c r="B19" s="2"/>
    </row>
    <row r="20" spans="1:2" ht="15.75">
      <c r="A20" s="10" t="s">
        <v>255</v>
      </c>
      <c r="B20" s="2"/>
    </row>
    <row r="21" spans="1:2" ht="12.75">
      <c r="A21" s="8" t="s">
        <v>0</v>
      </c>
      <c r="B21" s="2"/>
    </row>
    <row r="22" spans="1:7" ht="12.75">
      <c r="A22" s="75" t="str">
        <f>(LEFT(INPUT!B231,13))&amp;" "&amp;"CBCU"</f>
        <v>Haigler Canal CBCU</v>
      </c>
      <c r="B22" s="2">
        <f>B12*CanalCUPercent</f>
        <v>279</v>
      </c>
      <c r="C22">
        <v>1168.8</v>
      </c>
      <c r="D22">
        <v>1243.2</v>
      </c>
      <c r="E22">
        <v>1453.8</v>
      </c>
      <c r="F22">
        <v>1592.4</v>
      </c>
      <c r="G22">
        <v>1507.2</v>
      </c>
    </row>
    <row r="23" spans="1:7" ht="12.75">
      <c r="A23" s="2" t="s">
        <v>244</v>
      </c>
      <c r="B23" s="2">
        <f>B13*CanalCUPercent</f>
        <v>354</v>
      </c>
      <c r="C23">
        <v>1446</v>
      </c>
      <c r="D23">
        <v>1733.22</v>
      </c>
      <c r="E23">
        <v>1674</v>
      </c>
      <c r="F23">
        <v>1497.6</v>
      </c>
      <c r="G23">
        <v>1469.3999999999999</v>
      </c>
    </row>
    <row r="24" spans="1:7" ht="12.75">
      <c r="A24" s="2" t="s">
        <v>245</v>
      </c>
      <c r="B24" s="2">
        <f>B14*PumperCUPercent</f>
        <v>0</v>
      </c>
      <c r="C24">
        <v>0</v>
      </c>
      <c r="D24">
        <v>0</v>
      </c>
      <c r="E24">
        <v>0</v>
      </c>
      <c r="F24">
        <v>0</v>
      </c>
      <c r="G24">
        <v>0</v>
      </c>
    </row>
    <row r="25" spans="1:7" ht="12.75">
      <c r="A25" s="2" t="s">
        <v>246</v>
      </c>
      <c r="B25" s="2">
        <f>B15*MI_CUPercent</f>
        <v>0</v>
      </c>
      <c r="C25">
        <v>0</v>
      </c>
      <c r="D25">
        <v>0</v>
      </c>
      <c r="E25">
        <v>0</v>
      </c>
      <c r="F25">
        <v>0</v>
      </c>
      <c r="G25">
        <v>0</v>
      </c>
    </row>
    <row r="26" spans="1:7" ht="12.75">
      <c r="A26" s="9" t="s">
        <v>460</v>
      </c>
      <c r="B26" s="2">
        <f>+B17</f>
        <v>38</v>
      </c>
      <c r="C26">
        <v>0</v>
      </c>
      <c r="D26">
        <v>46.16333333333334</v>
      </c>
      <c r="E26">
        <v>43</v>
      </c>
      <c r="F26">
        <v>50</v>
      </c>
      <c r="G26">
        <v>38</v>
      </c>
    </row>
    <row r="27" spans="1:7" ht="12.75">
      <c r="A27" s="2" t="s">
        <v>232</v>
      </c>
      <c r="B27" s="73">
        <f>B22+B23+B24+B25+B26</f>
        <v>671</v>
      </c>
      <c r="C27">
        <v>2614.8</v>
      </c>
      <c r="D27">
        <v>3022.5833333333335</v>
      </c>
      <c r="E27">
        <v>3170.8</v>
      </c>
      <c r="F27">
        <v>3140</v>
      </c>
      <c r="G27">
        <v>3014.6</v>
      </c>
    </row>
    <row r="28" spans="1:7" ht="12.75">
      <c r="A28" s="2" t="s">
        <v>233</v>
      </c>
      <c r="B28" s="16">
        <f>B6</f>
        <v>14946</v>
      </c>
      <c r="C28">
        <v>14023</v>
      </c>
      <c r="D28">
        <v>14373</v>
      </c>
      <c r="E28">
        <v>14359</v>
      </c>
      <c r="F28">
        <v>14301</v>
      </c>
      <c r="G28">
        <v>14762</v>
      </c>
    </row>
    <row r="29" spans="1:7" ht="12.75">
      <c r="A29" s="2" t="s">
        <v>248</v>
      </c>
      <c r="B29" s="4">
        <f>(ROUND(SUM(B27:B28),-1))</f>
        <v>15620</v>
      </c>
      <c r="C29">
        <v>16640</v>
      </c>
      <c r="D29">
        <v>17400</v>
      </c>
      <c r="E29">
        <v>17530</v>
      </c>
      <c r="F29">
        <v>17440</v>
      </c>
      <c r="G29">
        <v>17780</v>
      </c>
    </row>
    <row r="30" spans="1:2" ht="12.75">
      <c r="A30" s="2" t="s">
        <v>78</v>
      </c>
      <c r="B30" s="2"/>
    </row>
    <row r="31" spans="1:2" ht="12.75">
      <c r="A31" s="8" t="s">
        <v>175</v>
      </c>
      <c r="B31" s="2"/>
    </row>
    <row r="32" spans="1:7" ht="12.75">
      <c r="A32" s="2" t="str">
        <f>A28</f>
        <v>GW CBCU</v>
      </c>
      <c r="B32" s="16">
        <f>B7</f>
        <v>24</v>
      </c>
      <c r="C32">
        <v>17</v>
      </c>
      <c r="D32">
        <v>16</v>
      </c>
      <c r="E32">
        <v>17</v>
      </c>
      <c r="F32">
        <v>12</v>
      </c>
      <c r="G32">
        <v>14</v>
      </c>
    </row>
    <row r="33" spans="1:7" ht="12.75">
      <c r="A33" s="2" t="str">
        <f>A29</f>
        <v>Total CBCU</v>
      </c>
      <c r="B33" s="4">
        <f>(ROUND(SUM(B32:B32),-1))</f>
        <v>20</v>
      </c>
      <c r="C33">
        <v>20</v>
      </c>
      <c r="D33">
        <v>20</v>
      </c>
      <c r="E33">
        <v>20</v>
      </c>
      <c r="F33">
        <v>10</v>
      </c>
      <c r="G33">
        <v>10</v>
      </c>
    </row>
    <row r="34" spans="1:2" ht="12.75">
      <c r="A34" s="2" t="s">
        <v>78</v>
      </c>
      <c r="B34" s="2"/>
    </row>
    <row r="35" spans="1:2" ht="12.75">
      <c r="A35" s="8" t="s">
        <v>1</v>
      </c>
      <c r="B35" s="2"/>
    </row>
    <row r="36" spans="1:7" ht="12.75">
      <c r="A36" s="12" t="str">
        <f>A22</f>
        <v>Haigler Canal CBCU</v>
      </c>
      <c r="B36" s="2">
        <f>+B16*CanalCUPercent</f>
        <v>2997</v>
      </c>
      <c r="C36">
        <v>2979</v>
      </c>
      <c r="D36">
        <v>2239.2</v>
      </c>
      <c r="E36">
        <v>2847</v>
      </c>
      <c r="F36">
        <v>2650.8</v>
      </c>
      <c r="G36">
        <v>2713.2</v>
      </c>
    </row>
    <row r="37" spans="1:7" ht="13.5" customHeight="1">
      <c r="A37" s="2" t="str">
        <f>A27</f>
        <v>SW CBCU</v>
      </c>
      <c r="B37" s="73">
        <f>B36</f>
        <v>2997</v>
      </c>
      <c r="C37">
        <v>2979</v>
      </c>
      <c r="D37">
        <v>2239.2</v>
      </c>
      <c r="E37">
        <v>2847</v>
      </c>
      <c r="F37">
        <v>2650.8</v>
      </c>
      <c r="G37">
        <v>2713.2</v>
      </c>
    </row>
    <row r="38" spans="1:7" ht="12.75">
      <c r="A38" s="2" t="str">
        <f>A28</f>
        <v>GW CBCU</v>
      </c>
      <c r="B38" s="16">
        <f>B8</f>
        <v>1471</v>
      </c>
      <c r="C38">
        <v>1402</v>
      </c>
      <c r="D38">
        <v>1446</v>
      </c>
      <c r="E38">
        <v>1443</v>
      </c>
      <c r="F38">
        <v>1366</v>
      </c>
      <c r="G38">
        <v>1422</v>
      </c>
    </row>
    <row r="39" spans="1:7" ht="12.75">
      <c r="A39" s="2" t="str">
        <f>A29</f>
        <v>Total CBCU</v>
      </c>
      <c r="B39" s="4">
        <f>(ROUND(SUM(B37:B38),-1))</f>
        <v>4470</v>
      </c>
      <c r="C39">
        <v>4380</v>
      </c>
      <c r="D39">
        <v>3690</v>
      </c>
      <c r="E39">
        <v>4290</v>
      </c>
      <c r="F39">
        <v>4020</v>
      </c>
      <c r="G39">
        <v>4140</v>
      </c>
    </row>
    <row r="40" spans="1:2" ht="12.75">
      <c r="A40" s="9" t="s">
        <v>78</v>
      </c>
      <c r="B40" s="2"/>
    </row>
    <row r="41" spans="1:2" ht="12.75">
      <c r="A41" s="5" t="s">
        <v>176</v>
      </c>
      <c r="B41" s="2"/>
    </row>
    <row r="42" spans="1:7" ht="12.75">
      <c r="A42" s="9" t="s">
        <v>234</v>
      </c>
      <c r="B42" s="4">
        <f>+B27+B37</f>
        <v>3668</v>
      </c>
      <c r="C42">
        <v>5593.8</v>
      </c>
      <c r="D42">
        <v>5261.783333333333</v>
      </c>
      <c r="E42">
        <v>6017.8</v>
      </c>
      <c r="F42">
        <v>5790.8</v>
      </c>
      <c r="G42">
        <v>5727.799999999999</v>
      </c>
    </row>
    <row r="43" spans="1:7" ht="12.75">
      <c r="A43" s="9" t="s">
        <v>235</v>
      </c>
      <c r="B43" s="4">
        <f>+B28+B32+B38</f>
        <v>16441</v>
      </c>
      <c r="C43">
        <v>15442</v>
      </c>
      <c r="D43">
        <v>15835</v>
      </c>
      <c r="E43">
        <v>15819</v>
      </c>
      <c r="F43">
        <v>15679</v>
      </c>
      <c r="G43">
        <v>16198</v>
      </c>
    </row>
    <row r="44" spans="1:7" ht="12.75">
      <c r="A44" s="9" t="s">
        <v>236</v>
      </c>
      <c r="B44" s="4">
        <f>SUM(B42:B43)</f>
        <v>20109</v>
      </c>
      <c r="C44">
        <v>21035.8</v>
      </c>
      <c r="D44">
        <v>21096.783333333333</v>
      </c>
      <c r="E44">
        <v>21836.8</v>
      </c>
      <c r="F44">
        <v>21469.8</v>
      </c>
      <c r="G44">
        <v>21925.8</v>
      </c>
    </row>
    <row r="45" spans="1:2" ht="12.75">
      <c r="A45" s="9" t="s">
        <v>78</v>
      </c>
      <c r="B45" s="2"/>
    </row>
    <row r="46" spans="1:2" ht="15.75">
      <c r="A46" s="11" t="s">
        <v>10</v>
      </c>
      <c r="B46" s="2"/>
    </row>
    <row r="47" spans="1:7" ht="12.75">
      <c r="A47" s="2" t="str">
        <f>A11</f>
        <v>North Fork Republican River At Colorado-Nebraska State Line</v>
      </c>
      <c r="B47" s="4">
        <f>B11</f>
        <v>21636</v>
      </c>
      <c r="C47">
        <v>17700</v>
      </c>
      <c r="D47">
        <v>19759</v>
      </c>
      <c r="E47">
        <v>21060</v>
      </c>
      <c r="F47">
        <v>17608</v>
      </c>
      <c r="G47">
        <v>20565.5</v>
      </c>
    </row>
    <row r="48" spans="1:7" ht="12.75">
      <c r="A48" s="2" t="s">
        <v>178</v>
      </c>
      <c r="B48" s="4">
        <f>B16-B36</f>
        <v>1998</v>
      </c>
      <c r="C48">
        <v>1986</v>
      </c>
      <c r="D48">
        <v>1492.8</v>
      </c>
      <c r="E48">
        <v>1898</v>
      </c>
      <c r="F48">
        <v>1767.2</v>
      </c>
      <c r="G48">
        <v>1808.8000000000002</v>
      </c>
    </row>
    <row r="49" spans="1:7" ht="12.75">
      <c r="A49" s="2" t="s">
        <v>237</v>
      </c>
      <c r="B49" s="4">
        <f>+B29</f>
        <v>15620</v>
      </c>
      <c r="C49">
        <v>16640</v>
      </c>
      <c r="D49">
        <v>17400</v>
      </c>
      <c r="E49">
        <v>17530</v>
      </c>
      <c r="F49">
        <v>17440</v>
      </c>
      <c r="G49">
        <v>17780</v>
      </c>
    </row>
    <row r="50" spans="1:7" ht="12.75">
      <c r="A50" s="2" t="s">
        <v>238</v>
      </c>
      <c r="B50" s="4">
        <f>+B33</f>
        <v>20</v>
      </c>
      <c r="C50">
        <v>20</v>
      </c>
      <c r="D50">
        <v>20</v>
      </c>
      <c r="E50">
        <v>20</v>
      </c>
      <c r="F50">
        <v>10</v>
      </c>
      <c r="G50">
        <v>10</v>
      </c>
    </row>
    <row r="51" spans="1:7" ht="12.75">
      <c r="A51" s="2" t="s">
        <v>239</v>
      </c>
      <c r="B51" s="4">
        <f>+B39</f>
        <v>4470</v>
      </c>
      <c r="C51">
        <v>4380</v>
      </c>
      <c r="D51">
        <v>3690</v>
      </c>
      <c r="E51">
        <v>4290</v>
      </c>
      <c r="F51">
        <v>4020</v>
      </c>
      <c r="G51">
        <v>4140</v>
      </c>
    </row>
    <row r="52" spans="1:7" ht="12.75">
      <c r="A52" s="2" t="s">
        <v>177</v>
      </c>
      <c r="B52" s="16">
        <f>+B5</f>
        <v>0</v>
      </c>
      <c r="C52">
        <v>0</v>
      </c>
      <c r="D52">
        <v>0</v>
      </c>
      <c r="E52">
        <v>0</v>
      </c>
      <c r="F52">
        <v>0</v>
      </c>
      <c r="G52">
        <v>0</v>
      </c>
    </row>
    <row r="53" spans="1:7" ht="12.75">
      <c r="A53" s="2" t="s">
        <v>10</v>
      </c>
      <c r="B53" s="4">
        <f>ROUND(SUM(B47:B51)-B52,-1)</f>
        <v>43740</v>
      </c>
      <c r="C53">
        <v>40730</v>
      </c>
      <c r="D53">
        <v>42360</v>
      </c>
      <c r="E53">
        <v>44800</v>
      </c>
      <c r="F53">
        <v>40850</v>
      </c>
      <c r="G53">
        <v>44300</v>
      </c>
    </row>
    <row r="54" spans="1:7" ht="12.75">
      <c r="A54" s="2" t="s">
        <v>179</v>
      </c>
      <c r="B54" s="2">
        <f>B18</f>
        <v>0</v>
      </c>
      <c r="C54">
        <v>0</v>
      </c>
      <c r="D54">
        <v>0</v>
      </c>
      <c r="E54">
        <v>0</v>
      </c>
      <c r="F54">
        <v>0</v>
      </c>
      <c r="G54">
        <v>0</v>
      </c>
    </row>
    <row r="55" spans="1:7" ht="12.75">
      <c r="A55" s="2" t="s">
        <v>11</v>
      </c>
      <c r="B55" s="4">
        <f>ROUND(+B53-B54,-1)</f>
        <v>43740</v>
      </c>
      <c r="C55">
        <v>40730</v>
      </c>
      <c r="D55">
        <v>42360</v>
      </c>
      <c r="E55">
        <v>44800</v>
      </c>
      <c r="F55">
        <v>40850</v>
      </c>
      <c r="G55">
        <v>44300</v>
      </c>
    </row>
    <row r="56" spans="1:2" ht="12.75">
      <c r="A56" s="9" t="s">
        <v>78</v>
      </c>
      <c r="B56" s="2"/>
    </row>
    <row r="57" spans="1:2" ht="15.75">
      <c r="A57" s="11" t="s">
        <v>12</v>
      </c>
      <c r="B57" s="13"/>
    </row>
    <row r="58" spans="1:7" ht="12.75">
      <c r="A58" s="2" t="s">
        <v>180</v>
      </c>
      <c r="B58" s="72">
        <f>'T2'!$D3</f>
        <v>0.224</v>
      </c>
      <c r="C58">
        <v>0.224</v>
      </c>
      <c r="D58">
        <v>0.224</v>
      </c>
      <c r="E58">
        <v>0.224</v>
      </c>
      <c r="F58">
        <v>0.224</v>
      </c>
      <c r="G58">
        <v>0.224</v>
      </c>
    </row>
    <row r="59" spans="1:7" ht="12.75">
      <c r="A59" s="2" t="s">
        <v>27</v>
      </c>
      <c r="B59" s="29">
        <f>ROUND(+B55*B58,-1)</f>
        <v>9800</v>
      </c>
      <c r="C59">
        <v>9120</v>
      </c>
      <c r="D59">
        <v>9490</v>
      </c>
      <c r="E59">
        <v>10040</v>
      </c>
      <c r="F59">
        <v>9150</v>
      </c>
      <c r="G59">
        <v>9920</v>
      </c>
    </row>
    <row r="60" spans="1:7" ht="12.75">
      <c r="A60" s="2" t="s">
        <v>181</v>
      </c>
      <c r="B60" s="72">
        <f>'T2'!$F3</f>
        <v>0</v>
      </c>
      <c r="C60">
        <v>0</v>
      </c>
      <c r="D60">
        <v>0</v>
      </c>
      <c r="E60">
        <v>0</v>
      </c>
      <c r="F60">
        <v>0</v>
      </c>
      <c r="G60">
        <v>0</v>
      </c>
    </row>
    <row r="61" spans="1:7" ht="12.75">
      <c r="A61" s="2" t="s">
        <v>29</v>
      </c>
      <c r="B61" s="29">
        <f>ROUND(B55*B60,-1)</f>
        <v>0</v>
      </c>
      <c r="C61">
        <v>0</v>
      </c>
      <c r="D61">
        <v>0</v>
      </c>
      <c r="E61">
        <v>0</v>
      </c>
      <c r="F61">
        <v>0</v>
      </c>
      <c r="G61">
        <v>0</v>
      </c>
    </row>
    <row r="62" spans="1:7" ht="12.75">
      <c r="A62" s="2" t="s">
        <v>182</v>
      </c>
      <c r="B62" s="72">
        <f>'T2'!$H3</f>
        <v>0.246</v>
      </c>
      <c r="C62">
        <v>0.246</v>
      </c>
      <c r="D62">
        <v>0.246</v>
      </c>
      <c r="E62">
        <v>0.246</v>
      </c>
      <c r="F62">
        <v>0.246</v>
      </c>
      <c r="G62">
        <v>0.246</v>
      </c>
    </row>
    <row r="63" spans="1:7" ht="12.75">
      <c r="A63" s="2" t="s">
        <v>30</v>
      </c>
      <c r="B63" s="29">
        <f>ROUND(B55*B62,-1)</f>
        <v>10760</v>
      </c>
      <c r="C63">
        <v>10020</v>
      </c>
      <c r="D63">
        <v>10420</v>
      </c>
      <c r="E63">
        <v>11020</v>
      </c>
      <c r="F63">
        <v>10050</v>
      </c>
      <c r="G63">
        <v>10900</v>
      </c>
    </row>
    <row r="64" spans="1:7" ht="12.75">
      <c r="A64" s="2" t="s">
        <v>183</v>
      </c>
      <c r="B64" s="29">
        <f>+B59+B61+B63</f>
        <v>20560</v>
      </c>
      <c r="C64">
        <v>19140</v>
      </c>
      <c r="D64">
        <v>19910</v>
      </c>
      <c r="E64">
        <v>21060</v>
      </c>
      <c r="F64">
        <v>19200</v>
      </c>
      <c r="G64">
        <v>20820</v>
      </c>
    </row>
    <row r="65" spans="1:7" ht="12.75">
      <c r="A65" s="2" t="s">
        <v>184</v>
      </c>
      <c r="B65" s="72">
        <f>'T2'!$J3</f>
        <v>0.53</v>
      </c>
      <c r="C65">
        <v>0.53</v>
      </c>
      <c r="D65">
        <v>0.53</v>
      </c>
      <c r="E65">
        <v>0.53</v>
      </c>
      <c r="F65">
        <v>0.53</v>
      </c>
      <c r="G65">
        <v>0.53</v>
      </c>
    </row>
    <row r="66" spans="1:7" ht="12.75">
      <c r="A66" s="2" t="s">
        <v>185</v>
      </c>
      <c r="B66" s="4">
        <f>+B55-B59-B61-B63</f>
        <v>23180</v>
      </c>
      <c r="C66">
        <v>21590</v>
      </c>
      <c r="D66">
        <v>22450</v>
      </c>
      <c r="E66">
        <v>23740</v>
      </c>
      <c r="F66">
        <v>21650</v>
      </c>
      <c r="G66">
        <v>23480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A1:G78"/>
  <sheetViews>
    <sheetView zoomScalePageLayoutView="0" workbookViewId="0" topLeftCell="A42">
      <selection activeCell="B2" sqref="B2"/>
    </sheetView>
  </sheetViews>
  <sheetFormatPr defaultColWidth="9.140625" defaultRowHeight="12.75"/>
  <cols>
    <col min="1" max="1" width="74.7109375" style="0" customWidth="1"/>
    <col min="2" max="2" width="17.28125" style="0" bestFit="1" customWidth="1"/>
  </cols>
  <sheetData>
    <row r="1" spans="1:7" ht="15.75">
      <c r="A1" s="59" t="s">
        <v>213</v>
      </c>
      <c r="B1" s="5">
        <v>2008</v>
      </c>
      <c r="C1">
        <v>2003</v>
      </c>
      <c r="D1">
        <v>2004</v>
      </c>
      <c r="E1" s="275">
        <v>2005</v>
      </c>
      <c r="F1" s="275">
        <v>2006</v>
      </c>
      <c r="G1" s="275">
        <v>2007</v>
      </c>
    </row>
    <row r="2" spans="1:4" ht="12.75">
      <c r="C2" s="1"/>
      <c r="D2" s="1"/>
    </row>
    <row r="3" spans="1:4" ht="15.75">
      <c r="A3" s="10" t="s">
        <v>171</v>
      </c>
      <c r="B3" s="294"/>
      <c r="C3" s="1"/>
      <c r="D3" s="1"/>
    </row>
    <row r="4" spans="1:4" ht="12.75">
      <c r="A4" s="8" t="s">
        <v>172</v>
      </c>
      <c r="B4" s="295"/>
      <c r="C4" s="1"/>
      <c r="D4" s="1"/>
    </row>
    <row r="5" spans="1:7" ht="12.75">
      <c r="A5" s="52" t="str">
        <f>INPUT!B47</f>
        <v>Imported Water Nebraska</v>
      </c>
      <c r="B5" s="52">
        <f>+INPUT!C47</f>
        <v>0</v>
      </c>
      <c r="C5">
        <v>0</v>
      </c>
      <c r="D5">
        <v>0</v>
      </c>
      <c r="E5">
        <v>0</v>
      </c>
      <c r="F5">
        <v>0</v>
      </c>
      <c r="G5">
        <v>0</v>
      </c>
    </row>
    <row r="6" spans="1:7" ht="12.75">
      <c r="A6" s="52" t="str">
        <f>INPUT!B7</f>
        <v>GW CBCU Colorado</v>
      </c>
      <c r="B6" s="52">
        <f>+INPUT!C7</f>
        <v>1419</v>
      </c>
      <c r="C6">
        <v>242</v>
      </c>
      <c r="D6">
        <v>353</v>
      </c>
      <c r="E6">
        <v>811</v>
      </c>
      <c r="F6">
        <v>1116</v>
      </c>
      <c r="G6">
        <v>1143</v>
      </c>
    </row>
    <row r="7" spans="1:7" ht="12.75">
      <c r="A7" s="52" t="str">
        <f>INPUT!B8</f>
        <v>GW CBCU Kansas</v>
      </c>
      <c r="B7" s="52">
        <f>+INPUT!C8</f>
        <v>93</v>
      </c>
      <c r="C7">
        <v>100</v>
      </c>
      <c r="D7">
        <v>116</v>
      </c>
      <c r="E7">
        <v>122</v>
      </c>
      <c r="F7">
        <v>84</v>
      </c>
      <c r="G7">
        <v>99</v>
      </c>
    </row>
    <row r="8" spans="1:7" ht="12" customHeight="1">
      <c r="A8" s="52" t="str">
        <f>INPUT!B9</f>
        <v>GW CBCU Nebraska</v>
      </c>
      <c r="B8" s="60">
        <f>+INPUT!C9</f>
        <v>128</v>
      </c>
      <c r="C8">
        <v>508</v>
      </c>
      <c r="D8">
        <v>431</v>
      </c>
      <c r="E8">
        <v>250</v>
      </c>
      <c r="F8">
        <v>125</v>
      </c>
      <c r="G8">
        <v>112</v>
      </c>
    </row>
    <row r="9" spans="1:2" ht="12" customHeight="1">
      <c r="A9" s="61" t="s">
        <v>78</v>
      </c>
      <c r="B9" s="61"/>
    </row>
    <row r="10" spans="1:2" ht="12.75">
      <c r="A10" s="5" t="s">
        <v>174</v>
      </c>
      <c r="B10" s="2"/>
    </row>
    <row r="11" spans="1:7" ht="12.75">
      <c r="A11" s="52" t="str">
        <f>+INPUT!B184</f>
        <v>Arikaree River At Haigler</v>
      </c>
      <c r="B11" s="52">
        <f>+INPUT!C184</f>
        <v>1567.8</v>
      </c>
      <c r="C11">
        <v>1060</v>
      </c>
      <c r="D11">
        <v>341</v>
      </c>
      <c r="E11">
        <v>1151</v>
      </c>
      <c r="F11">
        <v>404</v>
      </c>
      <c r="G11">
        <v>1330.51</v>
      </c>
    </row>
    <row r="12" spans="1:7" ht="12.75">
      <c r="A12" s="52" t="str">
        <f>INPUT!B65</f>
        <v>SW Diversions - Irrigation -Non-Federal Canals- Colorado</v>
      </c>
      <c r="B12" s="52">
        <f>INPUT!C65</f>
        <v>0</v>
      </c>
      <c r="C12">
        <v>0</v>
      </c>
      <c r="D12">
        <v>0</v>
      </c>
      <c r="E12">
        <v>0</v>
      </c>
      <c r="F12">
        <v>0</v>
      </c>
      <c r="G12">
        <v>0</v>
      </c>
    </row>
    <row r="13" spans="1:7" ht="12.75">
      <c r="A13" s="104" t="str">
        <f>INPUT!B66</f>
        <v>SW Diversions - Irrigation - Small Pumps - Colorado</v>
      </c>
      <c r="B13" s="104">
        <f>INPUT!C66</f>
        <v>0</v>
      </c>
      <c r="C13">
        <v>0</v>
      </c>
      <c r="D13">
        <v>0</v>
      </c>
      <c r="E13">
        <v>0</v>
      </c>
      <c r="F13">
        <v>0</v>
      </c>
      <c r="G13">
        <v>0</v>
      </c>
    </row>
    <row r="14" spans="1:7" ht="12.75">
      <c r="A14" s="104" t="str">
        <f>+INPUT!B67</f>
        <v>SW Diversions - M&amp;I - Colorado</v>
      </c>
      <c r="B14" s="104">
        <f>+INPUT!C67</f>
        <v>0</v>
      </c>
      <c r="C14">
        <v>0</v>
      </c>
      <c r="D14">
        <v>0</v>
      </c>
      <c r="E14">
        <v>0</v>
      </c>
      <c r="F14">
        <v>0</v>
      </c>
      <c r="G14">
        <v>0</v>
      </c>
    </row>
    <row r="15" spans="1:7" ht="12.75">
      <c r="A15" s="104" t="str">
        <f>+INPUT!B68</f>
        <v>SW Diversions - Irrigation - Non-Federal Canals- Kansas</v>
      </c>
      <c r="B15" s="104">
        <f>+INPUT!C68</f>
        <v>0</v>
      </c>
      <c r="C15">
        <v>0</v>
      </c>
      <c r="D15">
        <v>0</v>
      </c>
      <c r="E15">
        <v>0</v>
      </c>
      <c r="F15">
        <v>0</v>
      </c>
      <c r="G15">
        <v>0</v>
      </c>
    </row>
    <row r="16" spans="1:7" ht="12.75">
      <c r="A16" s="104" t="str">
        <f>+INPUT!B69</f>
        <v>SW Diversions - Irrigation - Small Pumps - Kansas</v>
      </c>
      <c r="B16" s="104">
        <f>+INPUT!C69</f>
        <v>0</v>
      </c>
      <c r="C16">
        <v>0</v>
      </c>
      <c r="D16">
        <v>0</v>
      </c>
      <c r="E16">
        <v>0</v>
      </c>
      <c r="F16">
        <v>0</v>
      </c>
      <c r="G16">
        <v>0</v>
      </c>
    </row>
    <row r="17" spans="1:7" ht="12.75">
      <c r="A17" s="104" t="str">
        <f>+INPUT!B70</f>
        <v>SW Diversions - M&amp;I - Kansas</v>
      </c>
      <c r="B17" s="104">
        <f>+INPUT!C70</f>
        <v>0</v>
      </c>
      <c r="C17">
        <v>0</v>
      </c>
      <c r="D17">
        <v>0</v>
      </c>
      <c r="E17">
        <v>0</v>
      </c>
      <c r="F17">
        <v>0</v>
      </c>
      <c r="G17">
        <v>0</v>
      </c>
    </row>
    <row r="18" spans="1:7" ht="12.75">
      <c r="A18" s="104" t="str">
        <f>+INPUT!B71</f>
        <v>SW Diversions - Irrigation - Non-Federal Canals - Nebraska</v>
      </c>
      <c r="B18" s="104">
        <f>+INPUT!C71</f>
        <v>0</v>
      </c>
      <c r="C18">
        <v>0</v>
      </c>
      <c r="D18">
        <v>0</v>
      </c>
      <c r="E18">
        <v>0</v>
      </c>
      <c r="F18">
        <v>0</v>
      </c>
      <c r="G18">
        <v>0</v>
      </c>
    </row>
    <row r="19" spans="1:7" ht="12.75">
      <c r="A19" s="52" t="str">
        <f>+INPUT!B72</f>
        <v>SW Diversions - Irrigation - Small Pumps - Nebraska</v>
      </c>
      <c r="B19" s="52">
        <f>+INPUT!C72</f>
        <v>0</v>
      </c>
      <c r="C19">
        <v>0</v>
      </c>
      <c r="D19">
        <v>0</v>
      </c>
      <c r="E19">
        <v>0</v>
      </c>
      <c r="F19">
        <v>0</v>
      </c>
      <c r="G19">
        <v>0</v>
      </c>
    </row>
    <row r="20" spans="1:7" ht="12.75">
      <c r="A20" s="52" t="str">
        <f>+INPUT!B73</f>
        <v>SW Diversions - M&amp;I - Nebraska</v>
      </c>
      <c r="B20" s="52">
        <f>+INPUT!C73</f>
        <v>0</v>
      </c>
      <c r="C20">
        <v>0</v>
      </c>
      <c r="D20">
        <v>0</v>
      </c>
      <c r="E20">
        <v>0</v>
      </c>
      <c r="F20">
        <v>0</v>
      </c>
      <c r="G20">
        <v>0</v>
      </c>
    </row>
    <row r="21" spans="1:7" ht="12.75">
      <c r="A21" s="52" t="str">
        <f>+INPUT!B154</f>
        <v>Non-Federal Reservoir Evaporation - Colorado</v>
      </c>
      <c r="B21" s="52">
        <f>+INPUT!C154</f>
        <v>0</v>
      </c>
      <c r="C21">
        <v>0</v>
      </c>
      <c r="D21">
        <v>0</v>
      </c>
      <c r="E21">
        <v>0</v>
      </c>
      <c r="F21">
        <v>0</v>
      </c>
      <c r="G21">
        <v>0</v>
      </c>
    </row>
    <row r="22" spans="1:7" ht="12.75">
      <c r="A22" s="52" t="str">
        <f>+INPUT!B155</f>
        <v>Non-Federal Reservoir Evaporation - Kansas</v>
      </c>
      <c r="B22" s="52">
        <f>+INPUT!C155</f>
        <v>14</v>
      </c>
      <c r="C22">
        <v>0</v>
      </c>
      <c r="D22">
        <v>40.5</v>
      </c>
      <c r="E22">
        <v>40.5</v>
      </c>
      <c r="F22">
        <v>46.21</v>
      </c>
      <c r="G22">
        <v>18</v>
      </c>
    </row>
    <row r="23" spans="1:7" ht="12.75">
      <c r="A23" s="52" t="str">
        <f>+INPUT!B156</f>
        <v>Non-Federal Reservoir Evaporation - Nebraska</v>
      </c>
      <c r="B23" s="52">
        <f>+INPUT!C156</f>
        <v>0</v>
      </c>
      <c r="C23">
        <v>0</v>
      </c>
      <c r="D23">
        <v>0</v>
      </c>
      <c r="E23">
        <v>0</v>
      </c>
      <c r="F23">
        <v>0</v>
      </c>
      <c r="G23">
        <v>0</v>
      </c>
    </row>
    <row r="24" spans="1:7" ht="12.75">
      <c r="A24" s="52" t="str">
        <f>+INPUT!B200</f>
        <v>Arikaree Flood Flow</v>
      </c>
      <c r="B24" s="52">
        <f>+INPUT!C200</f>
        <v>0</v>
      </c>
      <c r="C24">
        <v>0</v>
      </c>
      <c r="D24">
        <v>0</v>
      </c>
      <c r="E24">
        <v>0</v>
      </c>
      <c r="F24">
        <v>0</v>
      </c>
      <c r="G24">
        <v>0</v>
      </c>
    </row>
    <row r="25" spans="1:2" ht="12.75">
      <c r="A25" s="6" t="s">
        <v>78</v>
      </c>
      <c r="B25" s="2"/>
    </row>
    <row r="26" spans="1:2" ht="15.75">
      <c r="A26" s="10" t="s">
        <v>255</v>
      </c>
      <c r="B26" s="2"/>
    </row>
    <row r="27" spans="1:2" ht="12.75">
      <c r="A27" s="8" t="s">
        <v>0</v>
      </c>
      <c r="B27" s="2"/>
    </row>
    <row r="28" spans="1:7" ht="12.75">
      <c r="A28" s="99" t="str">
        <f>'NORTH FORK'!A23</f>
        <v>SW CBCU - Irrigation - Non Federal Canals</v>
      </c>
      <c r="B28" s="105">
        <f>B12*CanalCUPercent</f>
        <v>0</v>
      </c>
      <c r="C28">
        <v>0</v>
      </c>
      <c r="D28">
        <v>0</v>
      </c>
      <c r="E28">
        <v>0</v>
      </c>
      <c r="F28">
        <v>0</v>
      </c>
      <c r="G28">
        <v>0</v>
      </c>
    </row>
    <row r="29" spans="1:7" ht="12.75">
      <c r="A29" s="99" t="str">
        <f>'NORTH FORK'!A24</f>
        <v>SW CBCU - Irrigation - Small Pumps</v>
      </c>
      <c r="B29" s="105">
        <f>B13*PumperCUPercent</f>
        <v>0</v>
      </c>
      <c r="C29">
        <v>0</v>
      </c>
      <c r="D29">
        <v>0</v>
      </c>
      <c r="E29">
        <v>0</v>
      </c>
      <c r="F29">
        <v>0</v>
      </c>
      <c r="G29">
        <v>0</v>
      </c>
    </row>
    <row r="30" spans="1:7" ht="12.75">
      <c r="A30" s="99" t="str">
        <f>'NORTH FORK'!A25</f>
        <v>SW CBCU - M&amp;I</v>
      </c>
      <c r="B30" s="105">
        <f>B14*MI_CUPercent</f>
        <v>0</v>
      </c>
      <c r="C30">
        <v>0</v>
      </c>
      <c r="D30">
        <v>0</v>
      </c>
      <c r="E30">
        <v>0</v>
      </c>
      <c r="F30">
        <v>0</v>
      </c>
      <c r="G30">
        <v>0</v>
      </c>
    </row>
    <row r="31" spans="1:7" ht="12.75">
      <c r="A31" s="99" t="str">
        <f>'NORTH FORK'!A26</f>
        <v>Non-Federal Reservoir Evaporation</v>
      </c>
      <c r="B31" s="99">
        <f>B21</f>
        <v>0</v>
      </c>
      <c r="C31">
        <v>0</v>
      </c>
      <c r="D31">
        <v>0</v>
      </c>
      <c r="E31">
        <v>0</v>
      </c>
      <c r="F31">
        <v>0</v>
      </c>
      <c r="G31">
        <v>0</v>
      </c>
    </row>
    <row r="32" spans="1:7" ht="12.75">
      <c r="A32" s="99" t="str">
        <f>'NORTH FORK'!A27</f>
        <v>SW CBCU</v>
      </c>
      <c r="B32" s="106">
        <f>B28+B29+B30+B31</f>
        <v>0</v>
      </c>
      <c r="C32">
        <v>0</v>
      </c>
      <c r="D32">
        <v>0</v>
      </c>
      <c r="E32">
        <v>0</v>
      </c>
      <c r="F32">
        <v>0</v>
      </c>
      <c r="G32">
        <v>0</v>
      </c>
    </row>
    <row r="33" spans="1:7" ht="12.75">
      <c r="A33" s="99" t="str">
        <f>'NORTH FORK'!A28</f>
        <v>GW CBCU</v>
      </c>
      <c r="B33" s="99">
        <f>B6</f>
        <v>1419</v>
      </c>
      <c r="C33">
        <v>242</v>
      </c>
      <c r="D33">
        <v>353</v>
      </c>
      <c r="E33">
        <v>811</v>
      </c>
      <c r="F33">
        <v>1116</v>
      </c>
      <c r="G33">
        <v>1143</v>
      </c>
    </row>
    <row r="34" spans="1:7" ht="12.75">
      <c r="A34" s="99" t="str">
        <f>'NORTH FORK'!A29</f>
        <v>Total CBCU</v>
      </c>
      <c r="B34" s="106">
        <f>(ROUND(SUM(B32:B33),-1))</f>
        <v>1420</v>
      </c>
      <c r="C34">
        <v>240</v>
      </c>
      <c r="D34">
        <v>350</v>
      </c>
      <c r="E34">
        <v>810</v>
      </c>
      <c r="F34">
        <v>1120</v>
      </c>
      <c r="G34">
        <v>1140</v>
      </c>
    </row>
    <row r="35" spans="1:2" ht="12.75">
      <c r="A35" s="99" t="s">
        <v>78</v>
      </c>
      <c r="B35" s="99"/>
    </row>
    <row r="36" spans="1:2" ht="12.75">
      <c r="A36" s="107" t="s">
        <v>175</v>
      </c>
      <c r="B36" s="108"/>
    </row>
    <row r="37" spans="1:7" ht="12.75">
      <c r="A37" s="109" t="str">
        <f aca="true" t="shared" si="0" ref="A37:A43">A28</f>
        <v>SW CBCU - Irrigation - Non Federal Canals</v>
      </c>
      <c r="B37" s="108">
        <f>B15*CanalCUPercent</f>
        <v>0</v>
      </c>
      <c r="C37">
        <v>0</v>
      </c>
      <c r="D37">
        <v>0</v>
      </c>
      <c r="E37">
        <v>0</v>
      </c>
      <c r="F37">
        <v>0</v>
      </c>
      <c r="G37">
        <v>0</v>
      </c>
    </row>
    <row r="38" spans="1:7" ht="12.75">
      <c r="A38" s="108" t="str">
        <f t="shared" si="0"/>
        <v>SW CBCU - Irrigation - Small Pumps</v>
      </c>
      <c r="B38" s="108">
        <f>B16*PumperCUPercent</f>
        <v>0</v>
      </c>
      <c r="C38">
        <v>0</v>
      </c>
      <c r="D38">
        <v>0</v>
      </c>
      <c r="E38">
        <v>0</v>
      </c>
      <c r="F38">
        <v>0</v>
      </c>
      <c r="G38">
        <v>0</v>
      </c>
    </row>
    <row r="39" spans="1:7" ht="12.75">
      <c r="A39" s="108" t="str">
        <f t="shared" si="0"/>
        <v>SW CBCU - M&amp;I</v>
      </c>
      <c r="B39" s="108">
        <f>B17*MI_CUPercent</f>
        <v>0</v>
      </c>
      <c r="C39">
        <v>0</v>
      </c>
      <c r="D39">
        <v>0</v>
      </c>
      <c r="E39">
        <v>0</v>
      </c>
      <c r="F39">
        <v>0</v>
      </c>
      <c r="G39">
        <v>0</v>
      </c>
    </row>
    <row r="40" spans="1:7" ht="12.75">
      <c r="A40" s="108" t="str">
        <f t="shared" si="0"/>
        <v>Non-Federal Reservoir Evaporation</v>
      </c>
      <c r="B40" s="108">
        <f>B22</f>
        <v>14</v>
      </c>
      <c r="C40">
        <v>0</v>
      </c>
      <c r="D40">
        <v>40.5</v>
      </c>
      <c r="E40">
        <v>40.5</v>
      </c>
      <c r="F40">
        <v>46.21</v>
      </c>
      <c r="G40">
        <v>18</v>
      </c>
    </row>
    <row r="41" spans="1:7" ht="12.75">
      <c r="A41" s="108" t="str">
        <f t="shared" si="0"/>
        <v>SW CBCU</v>
      </c>
      <c r="B41" s="110">
        <f>B37+B38+B39+B40</f>
        <v>14</v>
      </c>
      <c r="C41">
        <v>0</v>
      </c>
      <c r="D41">
        <v>40.5</v>
      </c>
      <c r="E41">
        <v>40.5</v>
      </c>
      <c r="F41">
        <v>46.21</v>
      </c>
      <c r="G41">
        <v>18</v>
      </c>
    </row>
    <row r="42" spans="1:7" ht="12.75">
      <c r="A42" s="108" t="str">
        <f t="shared" si="0"/>
        <v>GW CBCU</v>
      </c>
      <c r="B42" s="108">
        <f>B7</f>
        <v>93</v>
      </c>
      <c r="C42">
        <v>100</v>
      </c>
      <c r="D42">
        <v>116</v>
      </c>
      <c r="E42">
        <v>122</v>
      </c>
      <c r="F42">
        <v>84</v>
      </c>
      <c r="G42">
        <v>99</v>
      </c>
    </row>
    <row r="43" spans="1:7" ht="12.75">
      <c r="A43" s="108" t="str">
        <f t="shared" si="0"/>
        <v>Total CBCU</v>
      </c>
      <c r="B43" s="110">
        <f>(ROUND(SUM(B41:B42),-1))</f>
        <v>110</v>
      </c>
      <c r="C43">
        <v>100</v>
      </c>
      <c r="D43">
        <v>160</v>
      </c>
      <c r="E43">
        <v>160</v>
      </c>
      <c r="F43">
        <v>130</v>
      </c>
      <c r="G43">
        <v>120</v>
      </c>
    </row>
    <row r="44" spans="1:2" ht="12.75">
      <c r="A44" s="108" t="s">
        <v>78</v>
      </c>
      <c r="B44" s="108"/>
    </row>
    <row r="45" spans="1:2" ht="12.75">
      <c r="A45" s="107" t="s">
        <v>1</v>
      </c>
      <c r="B45" s="108"/>
    </row>
    <row r="46" spans="1:7" ht="12.75">
      <c r="A46" s="108" t="str">
        <f aca="true" t="shared" si="1" ref="A46:A52">A28</f>
        <v>SW CBCU - Irrigation - Non Federal Canals</v>
      </c>
      <c r="B46" s="110">
        <f>B18*CanalCUPercent</f>
        <v>0</v>
      </c>
      <c r="C46">
        <v>0</v>
      </c>
      <c r="D46">
        <v>0</v>
      </c>
      <c r="E46">
        <v>0</v>
      </c>
      <c r="F46">
        <v>0</v>
      </c>
      <c r="G46">
        <v>0</v>
      </c>
    </row>
    <row r="47" spans="1:7" ht="12.75">
      <c r="A47" s="108" t="str">
        <f t="shared" si="1"/>
        <v>SW CBCU - Irrigation - Small Pumps</v>
      </c>
      <c r="B47" s="110">
        <f>B19*PumperCUPercent</f>
        <v>0</v>
      </c>
      <c r="C47">
        <v>0</v>
      </c>
      <c r="D47">
        <v>0</v>
      </c>
      <c r="E47">
        <v>0</v>
      </c>
      <c r="F47">
        <v>0</v>
      </c>
      <c r="G47">
        <v>0</v>
      </c>
    </row>
    <row r="48" spans="1:7" ht="12.75">
      <c r="A48" s="108" t="str">
        <f t="shared" si="1"/>
        <v>SW CBCU - M&amp;I</v>
      </c>
      <c r="B48" s="110">
        <f>B20*MI_CUPercent</f>
        <v>0</v>
      </c>
      <c r="C48">
        <v>0</v>
      </c>
      <c r="D48">
        <v>0</v>
      </c>
      <c r="E48">
        <v>0</v>
      </c>
      <c r="F48">
        <v>0</v>
      </c>
      <c r="G48">
        <v>0</v>
      </c>
    </row>
    <row r="49" spans="1:7" ht="12.75">
      <c r="A49" s="108" t="str">
        <f t="shared" si="1"/>
        <v>Non-Federal Reservoir Evaporation</v>
      </c>
      <c r="B49" s="108">
        <f>B23</f>
        <v>0</v>
      </c>
      <c r="C49">
        <v>0</v>
      </c>
      <c r="D49">
        <v>0</v>
      </c>
      <c r="E49">
        <v>0</v>
      </c>
      <c r="F49">
        <v>0</v>
      </c>
      <c r="G49">
        <v>0</v>
      </c>
    </row>
    <row r="50" spans="1:7" ht="12.75">
      <c r="A50" s="108" t="str">
        <f t="shared" si="1"/>
        <v>SW CBCU</v>
      </c>
      <c r="B50" s="110">
        <f>B46+B47+B48+B49</f>
        <v>0</v>
      </c>
      <c r="C50">
        <v>0</v>
      </c>
      <c r="D50">
        <v>0</v>
      </c>
      <c r="E50">
        <v>0</v>
      </c>
      <c r="F50">
        <v>0</v>
      </c>
      <c r="G50">
        <v>0</v>
      </c>
    </row>
    <row r="51" spans="1:7" ht="12.75">
      <c r="A51" s="108" t="str">
        <f t="shared" si="1"/>
        <v>GW CBCU</v>
      </c>
      <c r="B51" s="108">
        <f>B8</f>
        <v>128</v>
      </c>
      <c r="C51">
        <v>508</v>
      </c>
      <c r="D51">
        <v>431</v>
      </c>
      <c r="E51">
        <v>250</v>
      </c>
      <c r="F51">
        <v>125</v>
      </c>
      <c r="G51">
        <v>112</v>
      </c>
    </row>
    <row r="52" spans="1:7" ht="12.75">
      <c r="A52" s="108" t="str">
        <f t="shared" si="1"/>
        <v>Total CBCU</v>
      </c>
      <c r="B52" s="110">
        <f>(ROUND(SUM(B50:B51),-1))</f>
        <v>130</v>
      </c>
      <c r="C52">
        <v>510</v>
      </c>
      <c r="D52">
        <v>430</v>
      </c>
      <c r="E52">
        <v>250</v>
      </c>
      <c r="F52">
        <v>130</v>
      </c>
      <c r="G52">
        <v>110</v>
      </c>
    </row>
    <row r="53" spans="1:2" ht="12.75">
      <c r="A53" s="111" t="s">
        <v>78</v>
      </c>
      <c r="B53" s="108"/>
    </row>
    <row r="54" spans="1:2" ht="12.75">
      <c r="A54" s="112" t="s">
        <v>176</v>
      </c>
      <c r="B54" s="108"/>
    </row>
    <row r="55" spans="1:7" ht="12.75">
      <c r="A55" s="111" t="str">
        <f>'NORTH FORK'!A42</f>
        <v>Total SW CBCU</v>
      </c>
      <c r="B55" s="110">
        <f>+B32+B41+B50</f>
        <v>14</v>
      </c>
      <c r="C55">
        <v>0</v>
      </c>
      <c r="D55">
        <v>40.5</v>
      </c>
      <c r="E55">
        <v>40.5</v>
      </c>
      <c r="F55">
        <v>46.21</v>
      </c>
      <c r="G55">
        <v>18</v>
      </c>
    </row>
    <row r="56" spans="1:7" ht="12.75">
      <c r="A56" s="111" t="str">
        <f>'NORTH FORK'!A43</f>
        <v>Total GW CBCU</v>
      </c>
      <c r="B56" s="110">
        <f>+B33+B42+B51</f>
        <v>1640</v>
      </c>
      <c r="C56">
        <v>850</v>
      </c>
      <c r="D56">
        <v>900</v>
      </c>
      <c r="E56">
        <v>1183</v>
      </c>
      <c r="F56">
        <v>1325</v>
      </c>
      <c r="G56">
        <v>1354</v>
      </c>
    </row>
    <row r="57" spans="1:7" ht="12.75">
      <c r="A57" s="111" t="str">
        <f>'NORTH FORK'!A44</f>
        <v>Total Basin CBCU</v>
      </c>
      <c r="B57" s="110">
        <f>(ROUND(SUM(B55:B56),-1))</f>
        <v>1650</v>
      </c>
      <c r="C57">
        <v>850</v>
      </c>
      <c r="D57">
        <v>940</v>
      </c>
      <c r="E57">
        <v>1220</v>
      </c>
      <c r="F57">
        <v>1370</v>
      </c>
      <c r="G57">
        <v>1370</v>
      </c>
    </row>
    <row r="58" spans="1:2" ht="12.75">
      <c r="A58" s="111" t="s">
        <v>78</v>
      </c>
      <c r="B58" s="108"/>
    </row>
    <row r="59" spans="1:2" ht="15.75">
      <c r="A59" s="113" t="s">
        <v>10</v>
      </c>
      <c r="B59" s="114"/>
    </row>
    <row r="60" spans="1:7" ht="12.75">
      <c r="A60" s="114" t="str">
        <f>A11</f>
        <v>Arikaree River At Haigler</v>
      </c>
      <c r="B60" s="115">
        <f>B11</f>
        <v>1567.8</v>
      </c>
      <c r="C60">
        <v>1060</v>
      </c>
      <c r="D60">
        <v>341</v>
      </c>
      <c r="E60">
        <v>1151</v>
      </c>
      <c r="F60">
        <v>404</v>
      </c>
      <c r="G60">
        <v>1330.51</v>
      </c>
    </row>
    <row r="61" spans="1:7" ht="12.75">
      <c r="A61" s="114" t="str">
        <f>'NORTH FORK'!A49</f>
        <v>Colorado CBCU</v>
      </c>
      <c r="B61" s="115">
        <f>+B34</f>
        <v>1420</v>
      </c>
      <c r="C61">
        <v>240</v>
      </c>
      <c r="D61">
        <v>350</v>
      </c>
      <c r="E61">
        <v>810</v>
      </c>
      <c r="F61">
        <v>1120</v>
      </c>
      <c r="G61">
        <v>1140</v>
      </c>
    </row>
    <row r="62" spans="1:7" ht="12.75">
      <c r="A62" s="114" t="str">
        <f>'NORTH FORK'!A50</f>
        <v>Kansas CBCU</v>
      </c>
      <c r="B62" s="115">
        <f>+B43</f>
        <v>110</v>
      </c>
      <c r="C62">
        <v>100</v>
      </c>
      <c r="D62">
        <v>160</v>
      </c>
      <c r="E62">
        <v>160</v>
      </c>
      <c r="F62">
        <v>130</v>
      </c>
      <c r="G62">
        <v>120</v>
      </c>
    </row>
    <row r="63" spans="1:7" ht="12.75">
      <c r="A63" s="114" t="str">
        <f>'NORTH FORK'!A51</f>
        <v>Nebraska CBCU</v>
      </c>
      <c r="B63" s="115">
        <f>+B52</f>
        <v>130</v>
      </c>
      <c r="C63">
        <v>510</v>
      </c>
      <c r="D63">
        <v>430</v>
      </c>
      <c r="E63">
        <v>250</v>
      </c>
      <c r="F63">
        <v>130</v>
      </c>
      <c r="G63">
        <v>110</v>
      </c>
    </row>
    <row r="64" spans="1:7" ht="12.75">
      <c r="A64" s="114" t="str">
        <f>'NORTH FORK'!A52</f>
        <v>Imported Water</v>
      </c>
      <c r="B64" s="114">
        <f>+B5</f>
        <v>0</v>
      </c>
      <c r="C64">
        <v>0</v>
      </c>
      <c r="D64">
        <v>0</v>
      </c>
      <c r="E64">
        <v>0</v>
      </c>
      <c r="F64">
        <v>0</v>
      </c>
      <c r="G64">
        <v>0</v>
      </c>
    </row>
    <row r="65" spans="1:7" ht="12.75">
      <c r="A65" s="114" t="str">
        <f>'NORTH FORK'!A53</f>
        <v>Virgin Water Supply</v>
      </c>
      <c r="B65" s="115">
        <f>ROUND(SUM(B60:B63)-B64,-1)</f>
        <v>3230</v>
      </c>
      <c r="C65">
        <v>1910</v>
      </c>
      <c r="D65">
        <v>1280</v>
      </c>
      <c r="E65">
        <v>2370</v>
      </c>
      <c r="F65">
        <v>1780</v>
      </c>
      <c r="G65">
        <v>2700</v>
      </c>
    </row>
    <row r="66" spans="1:7" ht="12.75">
      <c r="A66" s="114" t="str">
        <f>'NORTH FORK'!A54</f>
        <v>Adjustment For Flood Flows</v>
      </c>
      <c r="B66" s="114">
        <f>B24</f>
        <v>0</v>
      </c>
      <c r="C66">
        <v>0</v>
      </c>
      <c r="D66">
        <v>0</v>
      </c>
      <c r="E66">
        <v>0</v>
      </c>
      <c r="F66">
        <v>0</v>
      </c>
      <c r="G66">
        <v>0</v>
      </c>
    </row>
    <row r="67" spans="1:7" ht="12.75">
      <c r="A67" s="114" t="str">
        <f>'NORTH FORK'!A55</f>
        <v>Computed Water Supply</v>
      </c>
      <c r="B67" s="115">
        <f>ROUND(+B65-B66,-1)</f>
        <v>3230</v>
      </c>
      <c r="C67">
        <v>1910</v>
      </c>
      <c r="D67">
        <v>1280</v>
      </c>
      <c r="E67">
        <v>2370</v>
      </c>
      <c r="F67">
        <v>1780</v>
      </c>
      <c r="G67">
        <v>2700</v>
      </c>
    </row>
    <row r="68" spans="1:2" ht="12.75">
      <c r="A68" s="116" t="s">
        <v>78</v>
      </c>
      <c r="B68" s="114"/>
    </row>
    <row r="69" spans="1:2" ht="15.75">
      <c r="A69" s="113" t="s">
        <v>12</v>
      </c>
      <c r="B69" s="117"/>
    </row>
    <row r="70" spans="1:7" ht="12.75">
      <c r="A70" s="108" t="str">
        <f>'NORTH FORK'!A58</f>
        <v>Colorado Percent Of Allocation</v>
      </c>
      <c r="B70" s="118">
        <f>'T2'!$D4</f>
        <v>0.785</v>
      </c>
      <c r="C70">
        <v>0.785</v>
      </c>
      <c r="D70">
        <v>0.785</v>
      </c>
      <c r="E70">
        <v>0.785</v>
      </c>
      <c r="F70">
        <v>0.785</v>
      </c>
      <c r="G70">
        <v>0.785</v>
      </c>
    </row>
    <row r="71" spans="1:7" ht="12.75">
      <c r="A71" s="108" t="str">
        <f>'NORTH FORK'!A59</f>
        <v>Colorado Allocation</v>
      </c>
      <c r="B71" s="110">
        <f>ROUND(+B67*B70,-1)</f>
        <v>2540</v>
      </c>
      <c r="C71">
        <v>1500</v>
      </c>
      <c r="D71">
        <v>1000</v>
      </c>
      <c r="E71">
        <v>1860</v>
      </c>
      <c r="F71">
        <v>1400</v>
      </c>
      <c r="G71">
        <v>2120</v>
      </c>
    </row>
    <row r="72" spans="1:7" ht="12.75">
      <c r="A72" s="108" t="str">
        <f>'NORTH FORK'!A60</f>
        <v>Kansas Percent Of Allocation</v>
      </c>
      <c r="B72" s="118">
        <f>'T2'!$F4</f>
        <v>0.051</v>
      </c>
      <c r="C72">
        <v>0.051</v>
      </c>
      <c r="D72">
        <v>0.051</v>
      </c>
      <c r="E72">
        <v>0.051</v>
      </c>
      <c r="F72">
        <v>0.051</v>
      </c>
      <c r="G72">
        <v>0.051</v>
      </c>
    </row>
    <row r="73" spans="1:7" ht="12.75">
      <c r="A73" s="108" t="str">
        <f>'NORTH FORK'!A61</f>
        <v>Kansas Allocation</v>
      </c>
      <c r="B73" s="110">
        <f>ROUND(B67*B72,-1)</f>
        <v>160</v>
      </c>
      <c r="C73">
        <v>100</v>
      </c>
      <c r="D73">
        <v>70</v>
      </c>
      <c r="E73">
        <v>120</v>
      </c>
      <c r="F73">
        <v>90</v>
      </c>
      <c r="G73">
        <v>140</v>
      </c>
    </row>
    <row r="74" spans="1:7" ht="12.75">
      <c r="A74" s="108" t="str">
        <f>'NORTH FORK'!A62</f>
        <v>Nebraska Percent Of Allocation</v>
      </c>
      <c r="B74" s="118">
        <f>'T2'!$H4</f>
        <v>0.168</v>
      </c>
      <c r="C74">
        <v>0.168</v>
      </c>
      <c r="D74">
        <v>0.168</v>
      </c>
      <c r="E74">
        <v>0.168</v>
      </c>
      <c r="F74">
        <v>0.168</v>
      </c>
      <c r="G74">
        <v>0.168</v>
      </c>
    </row>
    <row r="75" spans="1:7" ht="12.75">
      <c r="A75" s="108" t="str">
        <f>'NORTH FORK'!A63</f>
        <v>Nebraska Allocation</v>
      </c>
      <c r="B75" s="110">
        <f>ROUND(B67*B74,-1)</f>
        <v>540</v>
      </c>
      <c r="C75">
        <v>320</v>
      </c>
      <c r="D75">
        <v>220</v>
      </c>
      <c r="E75">
        <v>400</v>
      </c>
      <c r="F75">
        <v>300</v>
      </c>
      <c r="G75">
        <v>450</v>
      </c>
    </row>
    <row r="76" spans="1:7" ht="12.75">
      <c r="A76" s="108" t="str">
        <f>'NORTH FORK'!A64</f>
        <v>Total Basin Allocation</v>
      </c>
      <c r="B76" s="110">
        <f>+B71+B73+B75</f>
        <v>3240</v>
      </c>
      <c r="C76">
        <v>1920</v>
      </c>
      <c r="D76">
        <v>1290</v>
      </c>
      <c r="E76">
        <v>2380</v>
      </c>
      <c r="F76">
        <v>1790</v>
      </c>
      <c r="G76">
        <v>2710</v>
      </c>
    </row>
    <row r="77" spans="1:7" ht="12.75">
      <c r="A77" s="108" t="str">
        <f>'NORTH FORK'!A65</f>
        <v>Percent Of Supply Not Allocated</v>
      </c>
      <c r="B77" s="118">
        <f>'T2'!$J4</f>
        <v>-0.004</v>
      </c>
      <c r="C77">
        <v>-0.004</v>
      </c>
      <c r="D77">
        <v>-0.004</v>
      </c>
      <c r="E77">
        <v>-0.004</v>
      </c>
      <c r="F77">
        <v>-0.004</v>
      </c>
      <c r="G77">
        <v>-0.004</v>
      </c>
    </row>
    <row r="78" spans="1:7" ht="12.75">
      <c r="A78" s="108" t="str">
        <f>'NORTH FORK'!A66</f>
        <v>Quantity Of Unallocated Supply</v>
      </c>
      <c r="B78" s="110">
        <f>+B67-B71-B73-B75</f>
        <v>-10</v>
      </c>
      <c r="C78">
        <v>-10</v>
      </c>
      <c r="D78">
        <v>-10</v>
      </c>
      <c r="E78">
        <v>-10</v>
      </c>
      <c r="F78">
        <v>-10</v>
      </c>
      <c r="G78">
        <v>-10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6.xml><?xml version="1.0" encoding="utf-8"?>
<worksheet xmlns="http://schemas.openxmlformats.org/spreadsheetml/2006/main" xmlns:r="http://schemas.openxmlformats.org/officeDocument/2006/relationships">
  <sheetPr codeName="Sheet5">
    <pageSetUpPr fitToPage="1"/>
  </sheetPr>
  <dimension ref="A1:G71"/>
  <sheetViews>
    <sheetView zoomScalePageLayoutView="0" workbookViewId="0" topLeftCell="A1">
      <selection activeCell="B2" sqref="B2"/>
    </sheetView>
  </sheetViews>
  <sheetFormatPr defaultColWidth="9.140625" defaultRowHeight="12.75"/>
  <cols>
    <col min="1" max="1" width="74.7109375" style="0" customWidth="1"/>
    <col min="2" max="2" width="10.00390625" style="0" customWidth="1"/>
  </cols>
  <sheetData>
    <row r="1" spans="1:7" ht="15.75">
      <c r="A1" s="59" t="s">
        <v>225</v>
      </c>
      <c r="B1" s="5">
        <v>2008</v>
      </c>
      <c r="C1">
        <v>2003</v>
      </c>
      <c r="D1">
        <v>2004</v>
      </c>
      <c r="E1" s="275">
        <v>2005</v>
      </c>
      <c r="F1" s="275">
        <v>2006</v>
      </c>
      <c r="G1" s="275">
        <v>2007</v>
      </c>
    </row>
    <row r="2" ht="12.75"/>
    <row r="3" spans="1:2" ht="15.75">
      <c r="A3" s="10" t="s">
        <v>171</v>
      </c>
      <c r="B3" s="294"/>
    </row>
    <row r="4" spans="1:2" ht="12.75">
      <c r="A4" s="8" t="s">
        <v>172</v>
      </c>
      <c r="B4" s="295"/>
    </row>
    <row r="5" spans="1:7" ht="12.75">
      <c r="A5" s="52" t="str">
        <f>INPUT!B48</f>
        <v>Imported Water Nebraska</v>
      </c>
      <c r="B5" s="52">
        <f>+INPUT!C48</f>
        <v>0</v>
      </c>
      <c r="C5">
        <v>0</v>
      </c>
      <c r="D5">
        <v>0</v>
      </c>
      <c r="E5">
        <v>0</v>
      </c>
      <c r="F5">
        <v>0</v>
      </c>
      <c r="G5">
        <v>0</v>
      </c>
    </row>
    <row r="6" spans="1:7" ht="12.75">
      <c r="A6" s="52" t="str">
        <f>+INPUT!B10</f>
        <v>GW CBCU Colorado</v>
      </c>
      <c r="B6" s="52">
        <f>+INPUT!C10</f>
        <v>354</v>
      </c>
      <c r="C6">
        <v>265</v>
      </c>
      <c r="D6">
        <v>290</v>
      </c>
      <c r="E6">
        <v>306</v>
      </c>
      <c r="F6">
        <v>319</v>
      </c>
      <c r="G6">
        <v>336</v>
      </c>
    </row>
    <row r="7" spans="1:7" ht="12.75">
      <c r="A7" s="52" t="str">
        <f>+INPUT!B11</f>
        <v>GW CBCU Kansas</v>
      </c>
      <c r="B7" s="52">
        <f>+INPUT!C11</f>
        <v>0</v>
      </c>
      <c r="C7">
        <v>0</v>
      </c>
      <c r="D7">
        <v>0</v>
      </c>
      <c r="E7">
        <v>0</v>
      </c>
      <c r="F7">
        <v>0</v>
      </c>
      <c r="G7">
        <v>0</v>
      </c>
    </row>
    <row r="8" spans="1:7" ht="12" customHeight="1">
      <c r="A8" s="52" t="str">
        <f>+INPUT!B12</f>
        <v>GW CBCU Nebraska</v>
      </c>
      <c r="B8" s="52">
        <f>+INPUT!C12</f>
        <v>3298</v>
      </c>
      <c r="C8">
        <v>3338</v>
      </c>
      <c r="D8">
        <v>3333</v>
      </c>
      <c r="E8">
        <v>3357</v>
      </c>
      <c r="F8">
        <v>3335</v>
      </c>
      <c r="G8">
        <v>3313</v>
      </c>
    </row>
    <row r="9" spans="1:2" ht="12.75">
      <c r="A9" s="2" t="s">
        <v>78</v>
      </c>
      <c r="B9" s="2"/>
    </row>
    <row r="10" spans="1:2" ht="12.75">
      <c r="A10" s="5" t="s">
        <v>174</v>
      </c>
      <c r="B10" s="2"/>
    </row>
    <row r="11" spans="1:7" ht="12.75">
      <c r="A11" s="52" t="str">
        <f>+INPUT!B185</f>
        <v>Buffalo Creek Near Haigler</v>
      </c>
      <c r="B11" s="58">
        <f>+INPUT!C185</f>
        <v>2188</v>
      </c>
      <c r="C11">
        <v>2090</v>
      </c>
      <c r="D11">
        <v>2276</v>
      </c>
      <c r="E11">
        <v>2227</v>
      </c>
      <c r="F11">
        <v>1731</v>
      </c>
      <c r="G11">
        <v>2094.93</v>
      </c>
    </row>
    <row r="12" spans="1:7" ht="12.75">
      <c r="A12" s="52" t="str">
        <f>INPUT!B74</f>
        <v>SW Diversions - Irrigation -Non-Federal Canals- Colorado</v>
      </c>
      <c r="B12" s="52">
        <f>INPUT!C74</f>
        <v>0</v>
      </c>
      <c r="C12">
        <v>0</v>
      </c>
      <c r="D12">
        <v>0</v>
      </c>
      <c r="E12">
        <v>0</v>
      </c>
      <c r="F12">
        <v>0</v>
      </c>
      <c r="G12">
        <v>0</v>
      </c>
    </row>
    <row r="13" spans="1:7" ht="12.75">
      <c r="A13" s="52" t="str">
        <f>INPUT!B75</f>
        <v>SW Diversions - Irrigation - Small Pumps - Colorado</v>
      </c>
      <c r="B13" s="52">
        <f>INPUT!C75</f>
        <v>0</v>
      </c>
      <c r="C13">
        <v>0</v>
      </c>
      <c r="D13">
        <v>0</v>
      </c>
      <c r="E13">
        <v>0</v>
      </c>
      <c r="F13">
        <v>0</v>
      </c>
      <c r="G13">
        <v>0</v>
      </c>
    </row>
    <row r="14" spans="1:7" ht="12.75">
      <c r="A14" s="52" t="str">
        <f>INPUT!B76</f>
        <v>SW Diversions - M&amp;I - Colorado</v>
      </c>
      <c r="B14" s="52">
        <f>INPUT!C76</f>
        <v>0</v>
      </c>
      <c r="C14">
        <v>0</v>
      </c>
      <c r="D14">
        <v>0</v>
      </c>
      <c r="E14">
        <v>0</v>
      </c>
      <c r="F14">
        <v>0</v>
      </c>
      <c r="G14">
        <v>0</v>
      </c>
    </row>
    <row r="15" spans="1:7" ht="12.75">
      <c r="A15" s="104" t="str">
        <f>+INPUT!B77</f>
        <v>SW Diversions - Irrigation - Non-Federal Canals - Nebraska</v>
      </c>
      <c r="B15" s="104">
        <f>+INPUT!C77</f>
        <v>361</v>
      </c>
      <c r="C15">
        <v>587</v>
      </c>
      <c r="D15">
        <v>334</v>
      </c>
      <c r="E15">
        <v>171.45</v>
      </c>
      <c r="F15">
        <v>170</v>
      </c>
      <c r="G15">
        <v>271</v>
      </c>
    </row>
    <row r="16" spans="1:7" ht="12.75">
      <c r="A16" s="104" t="str">
        <f>+INPUT!B78</f>
        <v>SW Diversions - Irrigation - Small Pumps - Nebraska</v>
      </c>
      <c r="B16" s="104">
        <f>+INPUT!C78</f>
        <v>0</v>
      </c>
      <c r="C16">
        <v>70.2</v>
      </c>
      <c r="D16">
        <v>55.7</v>
      </c>
      <c r="E16">
        <v>33.67</v>
      </c>
      <c r="F16">
        <v>0</v>
      </c>
      <c r="G16">
        <v>0</v>
      </c>
    </row>
    <row r="17" spans="1:7" ht="12.75">
      <c r="A17" s="104" t="str">
        <f>+INPUT!B79</f>
        <v>SW Diversions - M&amp;I - Nebraska</v>
      </c>
      <c r="B17" s="104">
        <f>+INPUT!C79</f>
        <v>0</v>
      </c>
      <c r="C17">
        <v>0</v>
      </c>
      <c r="D17">
        <v>0</v>
      </c>
      <c r="E17">
        <v>0</v>
      </c>
      <c r="F17">
        <v>0</v>
      </c>
      <c r="G17">
        <v>0</v>
      </c>
    </row>
    <row r="18" spans="1:7" ht="12.75">
      <c r="A18" s="104" t="str">
        <f>+INPUT!B157</f>
        <v>Non-Federal Reservoir Evaporation - Colorado</v>
      </c>
      <c r="B18" s="104">
        <f>+INPUT!C157</f>
        <v>0</v>
      </c>
      <c r="C18">
        <v>0</v>
      </c>
      <c r="D18">
        <v>0</v>
      </c>
      <c r="E18">
        <v>0</v>
      </c>
      <c r="F18">
        <v>0</v>
      </c>
      <c r="G18">
        <v>0</v>
      </c>
    </row>
    <row r="19" spans="1:7" ht="12.75">
      <c r="A19" s="104" t="str">
        <f>+INPUT!B158</f>
        <v>Non-Federal Reservoir Evaporation - Nebraska</v>
      </c>
      <c r="B19" s="104">
        <f>+INPUT!C158</f>
        <v>15</v>
      </c>
      <c r="C19">
        <v>0</v>
      </c>
      <c r="D19">
        <v>21.7</v>
      </c>
      <c r="E19">
        <v>21</v>
      </c>
      <c r="F19">
        <v>0</v>
      </c>
      <c r="G19">
        <v>18.4</v>
      </c>
    </row>
    <row r="20" spans="1:7" ht="12.75">
      <c r="A20" s="104" t="str">
        <f>+INPUT!B201</f>
        <v>Buffalo Flood Flow</v>
      </c>
      <c r="B20" s="104">
        <f>+INPUT!C201</f>
        <v>0</v>
      </c>
      <c r="C20">
        <v>0</v>
      </c>
      <c r="D20">
        <v>0</v>
      </c>
      <c r="E20">
        <v>0</v>
      </c>
      <c r="F20">
        <v>0</v>
      </c>
      <c r="G20">
        <v>0</v>
      </c>
    </row>
    <row r="21" spans="1:2" ht="12.75">
      <c r="A21" s="119" t="s">
        <v>78</v>
      </c>
      <c r="B21" s="16"/>
    </row>
    <row r="22" spans="1:2" ht="15.75">
      <c r="A22" s="10" t="s">
        <v>255</v>
      </c>
      <c r="B22" s="16"/>
    </row>
    <row r="23" spans="1:2" ht="12.75">
      <c r="A23" s="8" t="s">
        <v>0</v>
      </c>
      <c r="B23" s="16"/>
    </row>
    <row r="24" spans="1:7" ht="12.75">
      <c r="A24" s="12" t="str">
        <f aca="true" t="shared" si="0" ref="A24:B26">A12</f>
        <v>SW Diversions - Irrigation -Non-Federal Canals- Colorado</v>
      </c>
      <c r="B24" s="153">
        <f t="shared" si="0"/>
        <v>0</v>
      </c>
      <c r="C24">
        <v>0</v>
      </c>
      <c r="D24">
        <v>0</v>
      </c>
      <c r="E24">
        <v>0</v>
      </c>
      <c r="F24">
        <v>0</v>
      </c>
      <c r="G24">
        <v>0</v>
      </c>
    </row>
    <row r="25" spans="1:7" ht="12.75">
      <c r="A25" s="12" t="str">
        <f t="shared" si="0"/>
        <v>SW Diversions - Irrigation - Small Pumps - Colorado</v>
      </c>
      <c r="B25" s="153">
        <f t="shared" si="0"/>
        <v>0</v>
      </c>
      <c r="C25">
        <v>0</v>
      </c>
      <c r="D25">
        <v>0</v>
      </c>
      <c r="E25">
        <v>0</v>
      </c>
      <c r="F25">
        <v>0</v>
      </c>
      <c r="G25">
        <v>0</v>
      </c>
    </row>
    <row r="26" spans="1:7" ht="12.75">
      <c r="A26" s="12" t="str">
        <f t="shared" si="0"/>
        <v>SW Diversions - M&amp;I - Colorado</v>
      </c>
      <c r="B26" s="153">
        <f t="shared" si="0"/>
        <v>0</v>
      </c>
      <c r="C26">
        <v>0</v>
      </c>
      <c r="D26">
        <v>0</v>
      </c>
      <c r="E26">
        <v>0</v>
      </c>
      <c r="F26">
        <v>0</v>
      </c>
      <c r="G26">
        <v>0</v>
      </c>
    </row>
    <row r="27" spans="1:7" ht="12.75">
      <c r="A27" s="12" t="str">
        <f>A18</f>
        <v>Non-Federal Reservoir Evaporation - Colorado</v>
      </c>
      <c r="B27" s="153">
        <f>B18</f>
        <v>0</v>
      </c>
      <c r="C27">
        <v>0</v>
      </c>
      <c r="D27">
        <v>0</v>
      </c>
      <c r="E27">
        <v>0</v>
      </c>
      <c r="F27">
        <v>0</v>
      </c>
      <c r="G27">
        <v>0</v>
      </c>
    </row>
    <row r="28" spans="1:7" ht="12.75">
      <c r="A28" s="16" t="s">
        <v>232</v>
      </c>
      <c r="B28" s="120">
        <f>B24+B25+B26+B27</f>
        <v>0</v>
      </c>
      <c r="C28">
        <v>0</v>
      </c>
      <c r="D28">
        <v>0</v>
      </c>
      <c r="E28">
        <v>0</v>
      </c>
      <c r="F28">
        <v>0</v>
      </c>
      <c r="G28">
        <v>0</v>
      </c>
    </row>
    <row r="29" spans="1:7" ht="12.75">
      <c r="A29" s="16" t="str">
        <f>'NORTH FORK'!A28</f>
        <v>GW CBCU</v>
      </c>
      <c r="B29" s="16">
        <f>+B6</f>
        <v>354</v>
      </c>
      <c r="C29">
        <v>265</v>
      </c>
      <c r="D29">
        <v>290</v>
      </c>
      <c r="E29">
        <v>306</v>
      </c>
      <c r="F29">
        <v>319</v>
      </c>
      <c r="G29">
        <v>336</v>
      </c>
    </row>
    <row r="30" spans="1:7" ht="12.75">
      <c r="A30" s="16" t="str">
        <f>'NORTH FORK'!A29</f>
        <v>Total CBCU</v>
      </c>
      <c r="B30" s="73">
        <f>(ROUND(SUM(B28:B29),-1))</f>
        <v>350</v>
      </c>
      <c r="C30">
        <v>270</v>
      </c>
      <c r="D30">
        <v>290</v>
      </c>
      <c r="E30">
        <v>310</v>
      </c>
      <c r="F30">
        <v>320</v>
      </c>
      <c r="G30">
        <v>340</v>
      </c>
    </row>
    <row r="31" ht="12.75">
      <c r="B31" s="16"/>
    </row>
    <row r="32" spans="1:2" ht="12.75">
      <c r="A32" s="8" t="s">
        <v>175</v>
      </c>
      <c r="B32" s="16"/>
    </row>
    <row r="33" spans="1:7" ht="12.75">
      <c r="A33" s="16" t="str">
        <f>'NORTH FORK'!A28</f>
        <v>GW CBCU</v>
      </c>
      <c r="B33" s="16">
        <f>+B7</f>
        <v>0</v>
      </c>
      <c r="C33">
        <v>0</v>
      </c>
      <c r="D33">
        <v>0</v>
      </c>
      <c r="E33">
        <v>0</v>
      </c>
      <c r="F33">
        <v>0</v>
      </c>
      <c r="G33">
        <v>0</v>
      </c>
    </row>
    <row r="34" spans="1:7" ht="12.75">
      <c r="A34" s="16" t="str">
        <f>'NORTH FORK'!A29</f>
        <v>Total CBCU</v>
      </c>
      <c r="B34" s="73">
        <f>(ROUND(SUM(B33:B33),-1))</f>
        <v>0</v>
      </c>
      <c r="C34">
        <v>0</v>
      </c>
      <c r="D34">
        <v>0</v>
      </c>
      <c r="E34">
        <v>0</v>
      </c>
      <c r="F34">
        <v>0</v>
      </c>
      <c r="G34">
        <v>0</v>
      </c>
    </row>
    <row r="35" spans="1:2" ht="12.75">
      <c r="A35" s="16" t="s">
        <v>78</v>
      </c>
      <c r="B35" s="16"/>
    </row>
    <row r="36" spans="1:2" ht="12.75">
      <c r="A36" s="8" t="s">
        <v>1</v>
      </c>
      <c r="B36" s="16"/>
    </row>
    <row r="37" spans="1:7" ht="12.75">
      <c r="A37" s="12" t="str">
        <f>'NORTH FORK'!A23</f>
        <v>SW CBCU - Irrigation - Non Federal Canals</v>
      </c>
      <c r="B37" s="16">
        <f>B15*CanalCUPercent</f>
        <v>216.6</v>
      </c>
      <c r="C37">
        <v>352.2</v>
      </c>
      <c r="D37">
        <v>200.4</v>
      </c>
      <c r="E37">
        <v>102.87</v>
      </c>
      <c r="F37">
        <v>102</v>
      </c>
      <c r="G37">
        <v>162.6</v>
      </c>
    </row>
    <row r="38" spans="1:7" ht="12.75">
      <c r="A38" s="12" t="str">
        <f>'NORTH FORK'!A24</f>
        <v>SW CBCU - Irrigation - Small Pumps</v>
      </c>
      <c r="B38" s="73">
        <f>B16*PumperCUPercent</f>
        <v>0</v>
      </c>
      <c r="C38">
        <v>52.65</v>
      </c>
      <c r="D38">
        <v>41.775</v>
      </c>
      <c r="E38">
        <v>25.2525</v>
      </c>
      <c r="F38">
        <v>0</v>
      </c>
      <c r="G38">
        <v>0</v>
      </c>
    </row>
    <row r="39" spans="1:7" ht="12.75">
      <c r="A39" s="12" t="str">
        <f>'NORTH FORK'!A25</f>
        <v>SW CBCU - M&amp;I</v>
      </c>
      <c r="B39" s="16">
        <f>B17*MI_CUPercent</f>
        <v>0</v>
      </c>
      <c r="C39">
        <v>0</v>
      </c>
      <c r="D39">
        <v>0</v>
      </c>
      <c r="E39">
        <v>0</v>
      </c>
      <c r="F39">
        <v>0</v>
      </c>
      <c r="G39">
        <v>0</v>
      </c>
    </row>
    <row r="40" spans="1:7" ht="12.75">
      <c r="A40" s="71" t="str">
        <f>'NORTH FORK'!A26</f>
        <v>Non-Federal Reservoir Evaporation</v>
      </c>
      <c r="B40" s="97">
        <f>B19</f>
        <v>15</v>
      </c>
      <c r="C40">
        <v>0</v>
      </c>
      <c r="D40">
        <v>21.7</v>
      </c>
      <c r="E40">
        <v>21</v>
      </c>
      <c r="F40">
        <v>0</v>
      </c>
      <c r="G40">
        <v>18.4</v>
      </c>
    </row>
    <row r="41" spans="1:7" ht="12.75">
      <c r="A41" s="97" t="str">
        <f>'NORTH FORK'!A27</f>
        <v>SW CBCU</v>
      </c>
      <c r="B41" s="120">
        <f>B37+B38+B39+B40</f>
        <v>231.6</v>
      </c>
      <c r="C41">
        <v>404.85</v>
      </c>
      <c r="D41">
        <v>263.875</v>
      </c>
      <c r="E41">
        <v>149.1225</v>
      </c>
      <c r="F41">
        <v>102</v>
      </c>
      <c r="G41">
        <v>181</v>
      </c>
    </row>
    <row r="42" spans="1:7" ht="12.75">
      <c r="A42" s="16" t="str">
        <f>'NORTH FORK'!A28</f>
        <v>GW CBCU</v>
      </c>
      <c r="B42" s="16">
        <f>+B8</f>
        <v>3298</v>
      </c>
      <c r="C42">
        <v>3338</v>
      </c>
      <c r="D42">
        <v>3333</v>
      </c>
      <c r="E42">
        <v>3357</v>
      </c>
      <c r="F42">
        <v>3335</v>
      </c>
      <c r="G42">
        <v>3313</v>
      </c>
    </row>
    <row r="43" spans="1:7" ht="12.75">
      <c r="A43" s="16" t="str">
        <f>'NORTH FORK'!A29</f>
        <v>Total CBCU</v>
      </c>
      <c r="B43" s="73">
        <f>(ROUND(SUM(B41:B42),-1))</f>
        <v>3530</v>
      </c>
      <c r="C43">
        <v>3740</v>
      </c>
      <c r="D43">
        <v>3600</v>
      </c>
      <c r="E43">
        <v>3510</v>
      </c>
      <c r="F43">
        <v>3440</v>
      </c>
      <c r="G43">
        <v>3490</v>
      </c>
    </row>
    <row r="44" spans="1:2" ht="12.75">
      <c r="A44" s="97" t="s">
        <v>78</v>
      </c>
      <c r="B44" s="16"/>
    </row>
    <row r="45" spans="1:2" ht="12.75">
      <c r="A45" s="5" t="s">
        <v>176</v>
      </c>
      <c r="B45" s="16"/>
    </row>
    <row r="46" spans="1:7" ht="12.75">
      <c r="A46" s="97" t="str">
        <f>'NORTH FORK'!A42</f>
        <v>Total SW CBCU</v>
      </c>
      <c r="B46" s="73">
        <f>+B41+B28</f>
        <v>231.6</v>
      </c>
      <c r="C46">
        <v>404.85</v>
      </c>
      <c r="D46">
        <v>263.875</v>
      </c>
      <c r="E46">
        <v>149.1225</v>
      </c>
      <c r="F46">
        <v>102</v>
      </c>
      <c r="G46">
        <v>181</v>
      </c>
    </row>
    <row r="47" spans="1:7" ht="12.75">
      <c r="A47" s="97" t="str">
        <f>'NORTH FORK'!A43</f>
        <v>Total GW CBCU</v>
      </c>
      <c r="B47" s="73">
        <f>+B29+B33+B42</f>
        <v>3652</v>
      </c>
      <c r="C47">
        <v>3603</v>
      </c>
      <c r="D47">
        <v>3623</v>
      </c>
      <c r="E47">
        <v>3663</v>
      </c>
      <c r="F47">
        <v>3654</v>
      </c>
      <c r="G47">
        <v>3649</v>
      </c>
    </row>
    <row r="48" spans="1:7" ht="12.75">
      <c r="A48" s="97" t="str">
        <f>'NORTH FORK'!A44</f>
        <v>Total Basin CBCU</v>
      </c>
      <c r="B48" s="73">
        <f>(ROUND(SUM(B46:B47),-1))</f>
        <v>3880</v>
      </c>
      <c r="C48">
        <v>4010</v>
      </c>
      <c r="D48">
        <v>3890</v>
      </c>
      <c r="E48">
        <v>3810</v>
      </c>
      <c r="F48">
        <v>3760</v>
      </c>
      <c r="G48">
        <v>3830</v>
      </c>
    </row>
    <row r="49" spans="1:2" ht="12.75">
      <c r="A49" s="97" t="s">
        <v>78</v>
      </c>
      <c r="B49" s="16"/>
    </row>
    <row r="50" spans="1:2" ht="15.75">
      <c r="A50" s="11" t="s">
        <v>10</v>
      </c>
      <c r="B50" s="16"/>
    </row>
    <row r="51" spans="1:7" ht="12.75">
      <c r="A51" s="121" t="str">
        <f>A11</f>
        <v>Buffalo Creek Near Haigler</v>
      </c>
      <c r="B51" s="73">
        <f>B11</f>
        <v>2188</v>
      </c>
      <c r="C51">
        <v>2090</v>
      </c>
      <c r="D51">
        <v>2276</v>
      </c>
      <c r="E51">
        <v>2227</v>
      </c>
      <c r="F51">
        <v>1731</v>
      </c>
      <c r="G51">
        <v>2094.93</v>
      </c>
    </row>
    <row r="52" spans="1:7" ht="12.75">
      <c r="A52" s="16" t="str">
        <f>'NORTH FORK'!A49</f>
        <v>Colorado CBCU</v>
      </c>
      <c r="B52" s="73">
        <f>+B30</f>
        <v>350</v>
      </c>
      <c r="C52">
        <v>270</v>
      </c>
      <c r="D52">
        <v>290</v>
      </c>
      <c r="E52">
        <v>310</v>
      </c>
      <c r="F52">
        <v>320</v>
      </c>
      <c r="G52">
        <v>340</v>
      </c>
    </row>
    <row r="53" spans="1:7" ht="12.75">
      <c r="A53" s="2" t="str">
        <f>'NORTH FORK'!A50</f>
        <v>Kansas CBCU</v>
      </c>
      <c r="B53" s="29">
        <f>+B34</f>
        <v>0</v>
      </c>
      <c r="C53">
        <v>0</v>
      </c>
      <c r="D53">
        <v>0</v>
      </c>
      <c r="E53">
        <v>0</v>
      </c>
      <c r="F53">
        <v>0</v>
      </c>
      <c r="G53">
        <v>0</v>
      </c>
    </row>
    <row r="54" spans="1:7" ht="12.75">
      <c r="A54" s="2" t="str">
        <f>'NORTH FORK'!A51</f>
        <v>Nebraska CBCU</v>
      </c>
      <c r="B54" s="29">
        <f>+B43</f>
        <v>3530</v>
      </c>
      <c r="C54">
        <v>3740</v>
      </c>
      <c r="D54">
        <v>3600</v>
      </c>
      <c r="E54">
        <v>3510</v>
      </c>
      <c r="F54">
        <v>3440</v>
      </c>
      <c r="G54">
        <v>3490</v>
      </c>
    </row>
    <row r="55" spans="1:7" ht="12.75">
      <c r="A55" s="2" t="str">
        <f>'NORTH FORK'!A52</f>
        <v>Imported Water</v>
      </c>
      <c r="B55" s="16">
        <f>+B5</f>
        <v>0</v>
      </c>
      <c r="C55">
        <v>0</v>
      </c>
      <c r="D55">
        <v>0</v>
      </c>
      <c r="E55">
        <v>0</v>
      </c>
      <c r="F55">
        <v>0</v>
      </c>
      <c r="G55">
        <v>0</v>
      </c>
    </row>
    <row r="56" spans="1:7" ht="12.75">
      <c r="A56" s="2" t="str">
        <f>'NORTH FORK'!A53</f>
        <v>Virgin Water Supply</v>
      </c>
      <c r="B56" s="4">
        <f>ROUND(SUM(B51:B54)-B55,-1)</f>
        <v>6070</v>
      </c>
      <c r="C56">
        <v>6100</v>
      </c>
      <c r="D56">
        <v>6170</v>
      </c>
      <c r="E56">
        <v>6050</v>
      </c>
      <c r="F56">
        <v>5490</v>
      </c>
      <c r="G56">
        <v>5920</v>
      </c>
    </row>
    <row r="57" spans="1:7" ht="12.75">
      <c r="A57" s="2" t="str">
        <f>'NORTH FORK'!A54</f>
        <v>Adjustment For Flood Flows</v>
      </c>
      <c r="B57" s="2">
        <f>B20</f>
        <v>0</v>
      </c>
      <c r="C57">
        <v>0</v>
      </c>
      <c r="D57">
        <v>0</v>
      </c>
      <c r="E57">
        <v>0</v>
      </c>
      <c r="F57">
        <v>0</v>
      </c>
      <c r="G57">
        <v>0</v>
      </c>
    </row>
    <row r="58" spans="1:7" ht="12.75">
      <c r="A58" s="2" t="str">
        <f>'NORTH FORK'!A55</f>
        <v>Computed Water Supply</v>
      </c>
      <c r="B58" s="4">
        <f>ROUND(+B56-B57,-1)</f>
        <v>6070</v>
      </c>
      <c r="C58">
        <v>6100</v>
      </c>
      <c r="D58">
        <v>6170</v>
      </c>
      <c r="E58">
        <v>6050</v>
      </c>
      <c r="F58">
        <v>5490</v>
      </c>
      <c r="G58">
        <v>5920</v>
      </c>
    </row>
    <row r="59" spans="1:2" ht="12.75">
      <c r="A59" s="9" t="s">
        <v>78</v>
      </c>
      <c r="B59" s="2"/>
    </row>
    <row r="60" spans="1:2" ht="15.75">
      <c r="A60" s="11" t="s">
        <v>12</v>
      </c>
      <c r="B60" s="13"/>
    </row>
    <row r="61" spans="1:7" ht="12.75">
      <c r="A61" s="9" t="str">
        <f>'NORTH FORK'!A58</f>
        <v>Colorado Percent Of Allocation</v>
      </c>
      <c r="B61" s="72">
        <f>'T2'!$D5</f>
        <v>0</v>
      </c>
      <c r="C61">
        <v>0</v>
      </c>
      <c r="D61">
        <v>0</v>
      </c>
      <c r="E61">
        <v>0</v>
      </c>
      <c r="F61">
        <v>0</v>
      </c>
      <c r="G61">
        <v>0</v>
      </c>
    </row>
    <row r="62" spans="1:7" ht="12.75">
      <c r="A62" s="9" t="str">
        <f>'NORTH FORK'!A59</f>
        <v>Colorado Allocation</v>
      </c>
      <c r="B62" s="29">
        <f>ROUND(+B58*B61,-1)</f>
        <v>0</v>
      </c>
      <c r="C62">
        <v>0</v>
      </c>
      <c r="D62">
        <v>0</v>
      </c>
      <c r="E62">
        <v>0</v>
      </c>
      <c r="F62">
        <v>0</v>
      </c>
      <c r="G62">
        <v>0</v>
      </c>
    </row>
    <row r="63" spans="1:7" ht="12.75">
      <c r="A63" s="9" t="str">
        <f>'NORTH FORK'!A60</f>
        <v>Kansas Percent Of Allocation</v>
      </c>
      <c r="B63" s="72">
        <f>'T2'!$F5</f>
        <v>0</v>
      </c>
      <c r="C63">
        <v>0</v>
      </c>
      <c r="D63">
        <v>0</v>
      </c>
      <c r="E63">
        <v>0</v>
      </c>
      <c r="F63">
        <v>0</v>
      </c>
      <c r="G63">
        <v>0</v>
      </c>
    </row>
    <row r="64" spans="1:7" ht="12.75">
      <c r="A64" s="9" t="str">
        <f>'NORTH FORK'!A61</f>
        <v>Kansas Allocation</v>
      </c>
      <c r="B64" s="29">
        <f>ROUND(B58*B63,-1)</f>
        <v>0</v>
      </c>
      <c r="C64">
        <v>0</v>
      </c>
      <c r="D64">
        <v>0</v>
      </c>
      <c r="E64">
        <v>0</v>
      </c>
      <c r="F64">
        <v>0</v>
      </c>
      <c r="G64">
        <v>0</v>
      </c>
    </row>
    <row r="65" spans="1:7" ht="12.75">
      <c r="A65" s="9" t="str">
        <f>'NORTH FORK'!A62</f>
        <v>Nebraska Percent Of Allocation</v>
      </c>
      <c r="B65" s="72">
        <f>'T2'!$H5</f>
        <v>0.33</v>
      </c>
      <c r="C65">
        <v>0.33</v>
      </c>
      <c r="D65">
        <v>0.33</v>
      </c>
      <c r="E65">
        <v>0.33</v>
      </c>
      <c r="F65">
        <v>0.33</v>
      </c>
      <c r="G65">
        <v>0.33</v>
      </c>
    </row>
    <row r="66" spans="1:7" ht="12.75">
      <c r="A66" s="9" t="str">
        <f>'NORTH FORK'!A63</f>
        <v>Nebraska Allocation</v>
      </c>
      <c r="B66" s="29">
        <f>ROUND(B58*B65,-1)</f>
        <v>2000</v>
      </c>
      <c r="C66">
        <v>2010</v>
      </c>
      <c r="D66">
        <v>2040</v>
      </c>
      <c r="E66">
        <v>2000</v>
      </c>
      <c r="F66">
        <v>1810</v>
      </c>
      <c r="G66">
        <v>1950</v>
      </c>
    </row>
    <row r="67" spans="1:7" ht="12.75">
      <c r="A67" s="9" t="str">
        <f>'NORTH FORK'!A64</f>
        <v>Total Basin Allocation</v>
      </c>
      <c r="B67" s="29">
        <f>+B62+B64+B66</f>
        <v>2000</v>
      </c>
      <c r="C67">
        <v>2010</v>
      </c>
      <c r="D67">
        <v>2040</v>
      </c>
      <c r="E67">
        <v>2000</v>
      </c>
      <c r="F67">
        <v>1810</v>
      </c>
      <c r="G67">
        <v>1950</v>
      </c>
    </row>
    <row r="68" spans="1:7" ht="12.75">
      <c r="A68" s="9" t="str">
        <f>'NORTH FORK'!A65</f>
        <v>Percent Of Supply Not Allocated</v>
      </c>
      <c r="B68" s="72">
        <f>'T2'!$J5</f>
        <v>0.67</v>
      </c>
      <c r="C68">
        <v>0.67</v>
      </c>
      <c r="D68">
        <v>0.67</v>
      </c>
      <c r="E68">
        <v>0.67</v>
      </c>
      <c r="F68">
        <v>0.67</v>
      </c>
      <c r="G68">
        <v>0.67</v>
      </c>
    </row>
    <row r="69" spans="1:7" ht="12.75">
      <c r="A69" s="9" t="str">
        <f>'NORTH FORK'!A66</f>
        <v>Quantity Of Unallocated Supply</v>
      </c>
      <c r="B69" s="29">
        <f>+B58-B62-B64-B66</f>
        <v>4070</v>
      </c>
      <c r="C69">
        <v>4090</v>
      </c>
      <c r="D69">
        <v>4130</v>
      </c>
      <c r="E69">
        <v>4050</v>
      </c>
      <c r="F69">
        <v>3680</v>
      </c>
      <c r="G69">
        <v>3970</v>
      </c>
    </row>
    <row r="70" ht="12.75">
      <c r="A70" s="17"/>
    </row>
    <row r="71" ht="12.75">
      <c r="A71" s="17"/>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G68"/>
  <sheetViews>
    <sheetView zoomScalePageLayoutView="0" workbookViewId="0" topLeftCell="A1">
      <selection activeCell="B1" sqref="B1"/>
    </sheetView>
  </sheetViews>
  <sheetFormatPr defaultColWidth="9.140625" defaultRowHeight="12.75"/>
  <cols>
    <col min="1" max="1" width="74.7109375" style="0" customWidth="1"/>
    <col min="2" max="2" width="10.00390625" style="0" customWidth="1"/>
  </cols>
  <sheetData>
    <row r="1" spans="1:7" ht="15.75">
      <c r="A1" s="59" t="s">
        <v>224</v>
      </c>
      <c r="B1" s="5">
        <v>2008</v>
      </c>
      <c r="C1">
        <v>2003</v>
      </c>
      <c r="D1">
        <v>2004</v>
      </c>
      <c r="E1" s="275">
        <v>2005</v>
      </c>
      <c r="F1" s="275">
        <v>2006</v>
      </c>
      <c r="G1" s="275">
        <v>2007</v>
      </c>
    </row>
    <row r="2" ht="12.75"/>
    <row r="3" spans="1:2" ht="15.75">
      <c r="A3" s="10" t="s">
        <v>171</v>
      </c>
      <c r="B3" s="294"/>
    </row>
    <row r="4" spans="1:2" ht="12.75">
      <c r="A4" s="8" t="s">
        <v>172</v>
      </c>
      <c r="B4" s="295"/>
    </row>
    <row r="5" spans="1:7" ht="12.75">
      <c r="A5" s="52" t="str">
        <f>+INPUT!B49</f>
        <v>Imported Water Nebraska</v>
      </c>
      <c r="B5" s="52">
        <f>+INPUT!C49</f>
        <v>0</v>
      </c>
      <c r="C5">
        <v>0</v>
      </c>
      <c r="D5">
        <v>0</v>
      </c>
      <c r="E5">
        <v>0</v>
      </c>
      <c r="F5">
        <v>0</v>
      </c>
      <c r="G5">
        <v>0</v>
      </c>
    </row>
    <row r="6" spans="1:7" ht="12.75">
      <c r="A6" s="52" t="str">
        <f>+INPUT!B13</f>
        <v>GW CBCU Colorado</v>
      </c>
      <c r="B6" s="52">
        <f>+INPUT!C13</f>
        <v>75</v>
      </c>
      <c r="C6">
        <v>59</v>
      </c>
      <c r="D6">
        <v>58</v>
      </c>
      <c r="E6">
        <v>61</v>
      </c>
      <c r="F6">
        <v>64</v>
      </c>
      <c r="G6">
        <v>70</v>
      </c>
    </row>
    <row r="7" spans="1:7" ht="12.75">
      <c r="A7" s="52" t="str">
        <f>+INPUT!B14</f>
        <v>GW CBCU Kansas</v>
      </c>
      <c r="B7" s="52">
        <f>+INPUT!C14</f>
        <v>0</v>
      </c>
      <c r="C7">
        <v>0</v>
      </c>
      <c r="D7">
        <v>0</v>
      </c>
      <c r="E7">
        <v>0</v>
      </c>
      <c r="F7">
        <v>0</v>
      </c>
      <c r="G7">
        <v>0</v>
      </c>
    </row>
    <row r="8" spans="1:7" ht="12" customHeight="1">
      <c r="A8" s="52" t="str">
        <f>+INPUT!B15</f>
        <v>GW CBCU Nebraska</v>
      </c>
      <c r="B8" s="52">
        <f>+INPUT!C15</f>
        <v>4124</v>
      </c>
      <c r="C8">
        <v>3419</v>
      </c>
      <c r="D8">
        <v>3581</v>
      </c>
      <c r="E8">
        <v>3744</v>
      </c>
      <c r="F8">
        <v>3845</v>
      </c>
      <c r="G8">
        <v>3971</v>
      </c>
    </row>
    <row r="9" spans="1:2" ht="12" customHeight="1">
      <c r="A9" s="9" t="s">
        <v>78</v>
      </c>
      <c r="B9" s="9"/>
    </row>
    <row r="10" spans="1:2" ht="12.75">
      <c r="A10" s="5" t="s">
        <v>174</v>
      </c>
      <c r="B10" s="2"/>
    </row>
    <row r="11" spans="1:7" ht="12.75">
      <c r="A11" s="52" t="str">
        <f>+INPUT!B186</f>
        <v>Rock Creek At Parks</v>
      </c>
      <c r="B11" s="52">
        <f>+INPUT!C186</f>
        <v>4852</v>
      </c>
      <c r="C11">
        <v>4710</v>
      </c>
      <c r="D11">
        <v>5419</v>
      </c>
      <c r="E11">
        <v>5466</v>
      </c>
      <c r="F11">
        <v>5355</v>
      </c>
      <c r="G11">
        <v>5389.14</v>
      </c>
    </row>
    <row r="12" spans="1:7" ht="12.75">
      <c r="A12" s="52" t="str">
        <f>+INPUT!B80</f>
        <v>SW Diversions - Irrigation - Non-Federal Canals - Nebraska</v>
      </c>
      <c r="B12" s="52">
        <f>+INPUT!C80</f>
        <v>0</v>
      </c>
      <c r="C12">
        <v>0</v>
      </c>
      <c r="D12">
        <v>0</v>
      </c>
      <c r="E12">
        <v>0</v>
      </c>
      <c r="F12">
        <v>0</v>
      </c>
      <c r="G12">
        <v>0</v>
      </c>
    </row>
    <row r="13" spans="1:7" ht="12.75">
      <c r="A13" s="52" t="str">
        <f>+INPUT!B81</f>
        <v>SW Diversions - Irrigation - Small Pumps - Nebraska</v>
      </c>
      <c r="B13" s="52">
        <f>+INPUT!C81</f>
        <v>0</v>
      </c>
      <c r="C13">
        <v>0</v>
      </c>
      <c r="D13">
        <v>0</v>
      </c>
      <c r="E13">
        <v>0</v>
      </c>
      <c r="F13">
        <v>0</v>
      </c>
      <c r="G13">
        <v>0</v>
      </c>
    </row>
    <row r="14" spans="1:7" ht="12.75">
      <c r="A14" s="52" t="str">
        <f>+INPUT!B82</f>
        <v>SW Diversions - M&amp;I - Nebraska</v>
      </c>
      <c r="B14" s="52">
        <f>+INPUT!C82</f>
        <v>0</v>
      </c>
      <c r="C14">
        <v>0</v>
      </c>
      <c r="D14">
        <v>0</v>
      </c>
      <c r="E14">
        <v>0</v>
      </c>
      <c r="F14">
        <v>0</v>
      </c>
      <c r="G14">
        <v>0</v>
      </c>
    </row>
    <row r="15" spans="1:7" ht="12.75">
      <c r="A15" s="52" t="str">
        <f>+INPUT!B159</f>
        <v>Non-Federal Reservoir Evaporation - Nebraska</v>
      </c>
      <c r="B15" s="52">
        <f>+INPUT!C159</f>
        <v>46</v>
      </c>
      <c r="C15">
        <v>0</v>
      </c>
      <c r="D15">
        <v>64</v>
      </c>
      <c r="E15">
        <v>82</v>
      </c>
      <c r="F15">
        <v>79.35</v>
      </c>
      <c r="G15">
        <v>55</v>
      </c>
    </row>
    <row r="16" spans="1:7" ht="12.75">
      <c r="A16" s="52" t="str">
        <f>+INPUT!B202</f>
        <v>Rock Flood Flow</v>
      </c>
      <c r="B16" s="52">
        <f>+INPUT!C202</f>
        <v>0</v>
      </c>
      <c r="C16">
        <v>0</v>
      </c>
      <c r="D16">
        <v>0</v>
      </c>
      <c r="E16">
        <v>0</v>
      </c>
      <c r="F16">
        <v>0</v>
      </c>
      <c r="G16">
        <v>0</v>
      </c>
    </row>
    <row r="17" spans="1:2" ht="12.75">
      <c r="A17" s="6" t="s">
        <v>78</v>
      </c>
      <c r="B17" s="2"/>
    </row>
    <row r="18" spans="1:2" ht="15.75">
      <c r="A18" s="10" t="s">
        <v>255</v>
      </c>
      <c r="B18" s="2"/>
    </row>
    <row r="19" spans="1:2" ht="12.75">
      <c r="A19" s="8" t="s">
        <v>0</v>
      </c>
      <c r="B19" s="2"/>
    </row>
    <row r="20" spans="1:7" ht="12.75">
      <c r="A20" s="2" t="str">
        <f>'NORTH FORK'!A28</f>
        <v>GW CBCU</v>
      </c>
      <c r="B20" s="2">
        <f>+B6</f>
        <v>75</v>
      </c>
      <c r="C20">
        <v>59</v>
      </c>
      <c r="D20">
        <v>58</v>
      </c>
      <c r="E20">
        <v>61</v>
      </c>
      <c r="F20">
        <v>64</v>
      </c>
      <c r="G20">
        <v>70</v>
      </c>
    </row>
    <row r="21" spans="1:7" ht="12.75">
      <c r="A21" s="2" t="str">
        <f>'NORTH FORK'!A29</f>
        <v>Total CBCU</v>
      </c>
      <c r="B21" s="4">
        <f>(ROUND(SUM(B20:B20),-1))</f>
        <v>80</v>
      </c>
      <c r="C21">
        <v>60</v>
      </c>
      <c r="D21">
        <v>60</v>
      </c>
      <c r="E21">
        <v>60</v>
      </c>
      <c r="F21">
        <v>60</v>
      </c>
      <c r="G21">
        <v>70</v>
      </c>
    </row>
    <row r="22" spans="1:2" ht="12.75">
      <c r="A22" s="2" t="s">
        <v>78</v>
      </c>
      <c r="B22" s="2"/>
    </row>
    <row r="23" spans="1:2" ht="12.75">
      <c r="A23" s="8" t="s">
        <v>175</v>
      </c>
      <c r="B23" s="2"/>
    </row>
    <row r="24" spans="1:7" ht="12.75">
      <c r="A24" s="2" t="str">
        <f>'NORTH FORK'!A28</f>
        <v>GW CBCU</v>
      </c>
      <c r="B24" s="2">
        <f>+B7</f>
        <v>0</v>
      </c>
      <c r="C24">
        <v>0</v>
      </c>
      <c r="D24">
        <v>0</v>
      </c>
      <c r="E24">
        <v>0</v>
      </c>
      <c r="F24">
        <v>0</v>
      </c>
      <c r="G24">
        <v>0</v>
      </c>
    </row>
    <row r="25" spans="1:7" ht="12.75">
      <c r="A25" s="2" t="str">
        <f>'NORTH FORK'!A29</f>
        <v>Total CBCU</v>
      </c>
      <c r="B25" s="4">
        <f>(ROUND(SUM(B24:B24),-1))</f>
        <v>0</v>
      </c>
      <c r="C25">
        <v>0</v>
      </c>
      <c r="D25">
        <v>0</v>
      </c>
      <c r="E25">
        <v>0</v>
      </c>
      <c r="F25">
        <v>0</v>
      </c>
      <c r="G25">
        <v>0</v>
      </c>
    </row>
    <row r="26" spans="1:2" ht="12.75">
      <c r="A26" s="2" t="s">
        <v>78</v>
      </c>
      <c r="B26" s="2"/>
    </row>
    <row r="27" spans="1:2" ht="12.75">
      <c r="A27" s="8" t="s">
        <v>1</v>
      </c>
      <c r="B27" s="2"/>
    </row>
    <row r="28" spans="1:7" ht="12.75">
      <c r="A28" s="73" t="str">
        <f>A12</f>
        <v>SW Diversions - Irrigation - Non-Federal Canals - Nebraska</v>
      </c>
      <c r="B28" s="73">
        <f>B12*CanalCUPercent</f>
        <v>0</v>
      </c>
      <c r="C28">
        <v>0</v>
      </c>
      <c r="D28">
        <v>0</v>
      </c>
      <c r="E28">
        <v>0</v>
      </c>
      <c r="F28">
        <v>0</v>
      </c>
      <c r="G28">
        <v>0</v>
      </c>
    </row>
    <row r="29" spans="1:7" ht="12.75">
      <c r="A29" s="16" t="str">
        <f>'NORTH FORK'!A24</f>
        <v>SW CBCU - Irrigation - Small Pumps</v>
      </c>
      <c r="B29" s="73">
        <f>B13*PumperCUPercent</f>
        <v>0</v>
      </c>
      <c r="C29">
        <v>0</v>
      </c>
      <c r="D29">
        <v>0</v>
      </c>
      <c r="E29">
        <v>0</v>
      </c>
      <c r="F29">
        <v>0</v>
      </c>
      <c r="G29">
        <v>0</v>
      </c>
    </row>
    <row r="30" spans="1:7" ht="12.75">
      <c r="A30" s="16" t="str">
        <f>'NORTH FORK'!A25</f>
        <v>SW CBCU - M&amp;I</v>
      </c>
      <c r="B30" s="16">
        <f>B14*MI_CUPercent</f>
        <v>0</v>
      </c>
      <c r="C30">
        <v>0</v>
      </c>
      <c r="D30">
        <v>0</v>
      </c>
      <c r="E30">
        <v>0</v>
      </c>
      <c r="F30">
        <v>0</v>
      </c>
      <c r="G30">
        <v>0</v>
      </c>
    </row>
    <row r="31" spans="1:7" ht="12.75">
      <c r="A31" s="16" t="str">
        <f>'NORTH FORK'!A26</f>
        <v>Non-Federal Reservoir Evaporation</v>
      </c>
      <c r="B31" s="16">
        <f>B15</f>
        <v>46</v>
      </c>
      <c r="C31">
        <v>0</v>
      </c>
      <c r="D31">
        <v>64</v>
      </c>
      <c r="E31">
        <v>82</v>
      </c>
      <c r="F31">
        <v>79.35</v>
      </c>
      <c r="G31">
        <v>55</v>
      </c>
    </row>
    <row r="32" spans="1:7" ht="12.75">
      <c r="A32" s="16" t="str">
        <f>'NORTH FORK'!A27</f>
        <v>SW CBCU</v>
      </c>
      <c r="B32" s="73">
        <f>B28+B29+B30+B31</f>
        <v>46</v>
      </c>
      <c r="C32">
        <v>0</v>
      </c>
      <c r="D32">
        <v>64</v>
      </c>
      <c r="E32">
        <v>82</v>
      </c>
      <c r="F32">
        <v>79.35</v>
      </c>
      <c r="G32">
        <v>55</v>
      </c>
    </row>
    <row r="33" spans="1:7" ht="12.75">
      <c r="A33" s="16" t="str">
        <f>'NORTH FORK'!A28</f>
        <v>GW CBCU</v>
      </c>
      <c r="B33" s="16">
        <f>+B8</f>
        <v>4124</v>
      </c>
      <c r="C33">
        <v>3419</v>
      </c>
      <c r="D33">
        <v>3581</v>
      </c>
      <c r="E33">
        <v>3744</v>
      </c>
      <c r="F33">
        <v>3845</v>
      </c>
      <c r="G33">
        <v>3971</v>
      </c>
    </row>
    <row r="34" spans="1:7" ht="12.75">
      <c r="A34" s="16" t="str">
        <f>'NORTH FORK'!A29</f>
        <v>Total CBCU</v>
      </c>
      <c r="B34" s="73">
        <f>(ROUND(SUM(B32:B33),-1))</f>
        <v>4170</v>
      </c>
      <c r="C34">
        <v>3420</v>
      </c>
      <c r="D34">
        <v>3650</v>
      </c>
      <c r="E34">
        <v>3830</v>
      </c>
      <c r="F34">
        <v>3920</v>
      </c>
      <c r="G34">
        <v>4030</v>
      </c>
    </row>
    <row r="35" spans="1:2" ht="12.75">
      <c r="A35" s="97" t="s">
        <v>78</v>
      </c>
      <c r="B35" s="16"/>
    </row>
    <row r="36" spans="1:2" ht="12.75">
      <c r="A36" s="5" t="s">
        <v>176</v>
      </c>
      <c r="B36" s="16"/>
    </row>
    <row r="37" spans="1:7" ht="12.75">
      <c r="A37" s="97" t="str">
        <f>'NORTH FORK'!A42</f>
        <v>Total SW CBCU</v>
      </c>
      <c r="B37" s="73">
        <f>+B32</f>
        <v>46</v>
      </c>
      <c r="C37">
        <v>0</v>
      </c>
      <c r="D37">
        <v>64</v>
      </c>
      <c r="E37">
        <v>82</v>
      </c>
      <c r="F37">
        <v>79.35</v>
      </c>
      <c r="G37">
        <v>55</v>
      </c>
    </row>
    <row r="38" spans="1:7" ht="12.75">
      <c r="A38" s="97" t="str">
        <f>'NORTH FORK'!A43</f>
        <v>Total GW CBCU</v>
      </c>
      <c r="B38" s="73">
        <f>+B20+B24+B33</f>
        <v>4199</v>
      </c>
      <c r="C38">
        <v>3478</v>
      </c>
      <c r="D38">
        <v>3639</v>
      </c>
      <c r="E38">
        <v>3805</v>
      </c>
      <c r="F38">
        <v>3909</v>
      </c>
      <c r="G38">
        <v>4041</v>
      </c>
    </row>
    <row r="39" spans="1:7" ht="12.75">
      <c r="A39" s="97" t="str">
        <f>'NORTH FORK'!A44</f>
        <v>Total Basin CBCU</v>
      </c>
      <c r="B39" s="73">
        <f>(ROUND(SUM(B37:B38),-1))</f>
        <v>4250</v>
      </c>
      <c r="C39">
        <v>3480</v>
      </c>
      <c r="D39">
        <v>3700</v>
      </c>
      <c r="E39">
        <v>3890</v>
      </c>
      <c r="F39">
        <v>3990</v>
      </c>
      <c r="G39">
        <v>4100</v>
      </c>
    </row>
    <row r="40" spans="1:2" ht="12.75">
      <c r="A40" s="97" t="s">
        <v>78</v>
      </c>
      <c r="B40" s="16"/>
    </row>
    <row r="41" spans="1:2" ht="15.75">
      <c r="A41" s="11" t="s">
        <v>10</v>
      </c>
      <c r="B41" s="16"/>
    </row>
    <row r="42" spans="1:7" ht="12.75">
      <c r="A42" s="16" t="str">
        <f>A11</f>
        <v>Rock Creek At Parks</v>
      </c>
      <c r="B42" s="73">
        <f>B11</f>
        <v>4852</v>
      </c>
      <c r="C42">
        <v>4710</v>
      </c>
      <c r="D42">
        <v>5419</v>
      </c>
      <c r="E42">
        <v>5466</v>
      </c>
      <c r="F42">
        <v>5355</v>
      </c>
      <c r="G42">
        <v>5389.14</v>
      </c>
    </row>
    <row r="43" spans="1:7" ht="12.75">
      <c r="A43" s="16" t="str">
        <f>'NORTH FORK'!A49</f>
        <v>Colorado CBCU</v>
      </c>
      <c r="B43" s="73">
        <f>+B21</f>
        <v>80</v>
      </c>
      <c r="C43">
        <v>60</v>
      </c>
      <c r="D43">
        <v>60</v>
      </c>
      <c r="E43">
        <v>60</v>
      </c>
      <c r="F43">
        <v>60</v>
      </c>
      <c r="G43">
        <v>70</v>
      </c>
    </row>
    <row r="44" spans="1:7" ht="12.75">
      <c r="A44" s="16" t="str">
        <f>'NORTH FORK'!A50</f>
        <v>Kansas CBCU</v>
      </c>
      <c r="B44" s="73">
        <f>+B25</f>
        <v>0</v>
      </c>
      <c r="C44">
        <v>0</v>
      </c>
      <c r="D44">
        <v>0</v>
      </c>
      <c r="E44">
        <v>0</v>
      </c>
      <c r="F44">
        <v>0</v>
      </c>
      <c r="G44">
        <v>0</v>
      </c>
    </row>
    <row r="45" spans="1:7" ht="12.75">
      <c r="A45" s="16" t="str">
        <f>'NORTH FORK'!A51</f>
        <v>Nebraska CBCU</v>
      </c>
      <c r="B45" s="73">
        <f>+B34</f>
        <v>4170</v>
      </c>
      <c r="C45">
        <v>3420</v>
      </c>
      <c r="D45">
        <v>3650</v>
      </c>
      <c r="E45">
        <v>3830</v>
      </c>
      <c r="F45">
        <v>3920</v>
      </c>
      <c r="G45">
        <v>4030</v>
      </c>
    </row>
    <row r="46" spans="1:7" ht="12.75">
      <c r="A46" s="16" t="str">
        <f>'NORTH FORK'!A52</f>
        <v>Imported Water</v>
      </c>
      <c r="B46" s="16">
        <f>B5</f>
        <v>0</v>
      </c>
      <c r="C46">
        <v>0</v>
      </c>
      <c r="D46">
        <v>0</v>
      </c>
      <c r="E46">
        <v>0</v>
      </c>
      <c r="F46">
        <v>0</v>
      </c>
      <c r="G46">
        <v>0</v>
      </c>
    </row>
    <row r="47" spans="1:7" ht="12.75">
      <c r="A47" s="16" t="str">
        <f>'NORTH FORK'!A53</f>
        <v>Virgin Water Supply</v>
      </c>
      <c r="B47" s="73">
        <f>ROUND(SUM(B42:B45)-B46,-1)</f>
        <v>9100</v>
      </c>
      <c r="C47">
        <v>8190</v>
      </c>
      <c r="D47">
        <v>9130</v>
      </c>
      <c r="E47">
        <v>9360</v>
      </c>
      <c r="F47">
        <v>9340</v>
      </c>
      <c r="G47">
        <v>9490</v>
      </c>
    </row>
    <row r="48" spans="1:7" ht="12.75">
      <c r="A48" s="16" t="str">
        <f>'NORTH FORK'!A54</f>
        <v>Adjustment For Flood Flows</v>
      </c>
      <c r="B48" s="16">
        <f>B16</f>
        <v>0</v>
      </c>
      <c r="C48">
        <v>0</v>
      </c>
      <c r="D48">
        <v>0</v>
      </c>
      <c r="E48">
        <v>0</v>
      </c>
      <c r="F48">
        <v>0</v>
      </c>
      <c r="G48">
        <v>0</v>
      </c>
    </row>
    <row r="49" spans="1:7" ht="12.75">
      <c r="A49" s="16" t="str">
        <f>'NORTH FORK'!A55</f>
        <v>Computed Water Supply</v>
      </c>
      <c r="B49" s="73">
        <f>ROUND(+B47-B48,-1)</f>
        <v>9100</v>
      </c>
      <c r="C49">
        <v>8190</v>
      </c>
      <c r="D49">
        <v>9130</v>
      </c>
      <c r="E49">
        <v>9360</v>
      </c>
      <c r="F49">
        <v>9340</v>
      </c>
      <c r="G49">
        <v>9490</v>
      </c>
    </row>
    <row r="50" spans="1:2" ht="12.75">
      <c r="A50" s="9" t="s">
        <v>78</v>
      </c>
      <c r="B50" s="2"/>
    </row>
    <row r="51" spans="1:2" ht="15.75">
      <c r="A51" s="11" t="s">
        <v>12</v>
      </c>
      <c r="B51" s="13"/>
    </row>
    <row r="52" spans="1:7" ht="12.75">
      <c r="A52" s="2" t="str">
        <f>'NORTH FORK'!A58</f>
        <v>Colorado Percent Of Allocation</v>
      </c>
      <c r="B52" s="15">
        <f>'T2'!$D6</f>
        <v>0</v>
      </c>
      <c r="C52">
        <v>0</v>
      </c>
      <c r="D52">
        <v>0</v>
      </c>
      <c r="E52">
        <v>0</v>
      </c>
      <c r="F52">
        <v>0</v>
      </c>
      <c r="G52">
        <v>0</v>
      </c>
    </row>
    <row r="53" spans="1:7" ht="12.75">
      <c r="A53" s="2" t="str">
        <f>'NORTH FORK'!A59</f>
        <v>Colorado Allocation</v>
      </c>
      <c r="B53" s="4">
        <f>ROUND(+B49*B52,-1)</f>
        <v>0</v>
      </c>
      <c r="C53">
        <v>0</v>
      </c>
      <c r="D53">
        <v>0</v>
      </c>
      <c r="E53">
        <v>0</v>
      </c>
      <c r="F53">
        <v>0</v>
      </c>
      <c r="G53">
        <v>0</v>
      </c>
    </row>
    <row r="54" spans="1:7" ht="12.75">
      <c r="A54" s="2" t="str">
        <f>'NORTH FORK'!A60</f>
        <v>Kansas Percent Of Allocation</v>
      </c>
      <c r="B54" s="15">
        <f>'T2'!$F6</f>
        <v>0</v>
      </c>
      <c r="C54">
        <v>0</v>
      </c>
      <c r="D54">
        <v>0</v>
      </c>
      <c r="E54">
        <v>0</v>
      </c>
      <c r="F54">
        <v>0</v>
      </c>
      <c r="G54">
        <v>0</v>
      </c>
    </row>
    <row r="55" spans="1:7" ht="12.75">
      <c r="A55" s="2" t="str">
        <f>'NORTH FORK'!A61</f>
        <v>Kansas Allocation</v>
      </c>
      <c r="B55" s="4">
        <f>ROUND(B49*B54,-1)</f>
        <v>0</v>
      </c>
      <c r="C55">
        <v>0</v>
      </c>
      <c r="D55">
        <v>0</v>
      </c>
      <c r="E55">
        <v>0</v>
      </c>
      <c r="F55">
        <v>0</v>
      </c>
      <c r="G55">
        <v>0</v>
      </c>
    </row>
    <row r="56" spans="1:7" ht="12.75">
      <c r="A56" s="2" t="str">
        <f>'NORTH FORK'!A62</f>
        <v>Nebraska Percent Of Allocation</v>
      </c>
      <c r="B56" s="15">
        <f>'T2'!$H6</f>
        <v>0.4</v>
      </c>
      <c r="C56">
        <v>0.4</v>
      </c>
      <c r="D56">
        <v>0.4</v>
      </c>
      <c r="E56">
        <v>0.4</v>
      </c>
      <c r="F56">
        <v>0.4</v>
      </c>
      <c r="G56">
        <v>0.4</v>
      </c>
    </row>
    <row r="57" spans="1:7" ht="12.75">
      <c r="A57" s="2" t="str">
        <f>'NORTH FORK'!A63</f>
        <v>Nebraska Allocation</v>
      </c>
      <c r="B57" s="4">
        <f>ROUND(B49*B56,-1)</f>
        <v>3640</v>
      </c>
      <c r="C57">
        <v>3280</v>
      </c>
      <c r="D57">
        <v>3650</v>
      </c>
      <c r="E57">
        <v>3740</v>
      </c>
      <c r="F57">
        <v>3740</v>
      </c>
      <c r="G57">
        <v>3800</v>
      </c>
    </row>
    <row r="58" spans="1:7" ht="12.75">
      <c r="A58" s="2" t="str">
        <f>'NORTH FORK'!A64</f>
        <v>Total Basin Allocation</v>
      </c>
      <c r="B58" s="4">
        <f>+B53+B55+B57</f>
        <v>3640</v>
      </c>
      <c r="C58">
        <v>3280</v>
      </c>
      <c r="D58">
        <v>3650</v>
      </c>
      <c r="E58">
        <v>3740</v>
      </c>
      <c r="F58">
        <v>3740</v>
      </c>
      <c r="G58">
        <v>3800</v>
      </c>
    </row>
    <row r="59" spans="1:7" ht="12.75">
      <c r="A59" s="2" t="str">
        <f>'NORTH FORK'!A65</f>
        <v>Percent Of Supply Not Allocated</v>
      </c>
      <c r="B59" s="15">
        <f>'T2'!$J6</f>
        <v>0.6</v>
      </c>
      <c r="C59">
        <v>0.6</v>
      </c>
      <c r="D59">
        <v>0.6</v>
      </c>
      <c r="E59">
        <v>0.6</v>
      </c>
      <c r="F59">
        <v>0.6</v>
      </c>
      <c r="G59">
        <v>0.6</v>
      </c>
    </row>
    <row r="60" spans="1:7" ht="12.75">
      <c r="A60" s="2" t="str">
        <f>'NORTH FORK'!A66</f>
        <v>Quantity Of Unallocated Supply</v>
      </c>
      <c r="B60" s="4">
        <f>+B49-B53-B55-B57</f>
        <v>5460</v>
      </c>
      <c r="C60">
        <v>4910</v>
      </c>
      <c r="D60">
        <v>5480</v>
      </c>
      <c r="E60">
        <v>5620</v>
      </c>
      <c r="F60">
        <v>5600</v>
      </c>
      <c r="G60">
        <v>5690</v>
      </c>
    </row>
    <row r="61" spans="2:7" ht="12.75">
      <c r="B61">
        <f>'T2'!D5</f>
        <v>0</v>
      </c>
      <c r="G61">
        <v>0</v>
      </c>
    </row>
    <row r="63" spans="2:7" ht="12.75">
      <c r="B63">
        <f>'T2'!F5</f>
        <v>0</v>
      </c>
      <c r="G63">
        <v>0</v>
      </c>
    </row>
    <row r="65" spans="2:7" ht="12.75">
      <c r="B65">
        <f>'T2'!H5</f>
        <v>0.33</v>
      </c>
      <c r="G65">
        <v>0.33</v>
      </c>
    </row>
    <row r="68" spans="2:7" ht="12.75">
      <c r="B68">
        <f>'T2'!J5</f>
        <v>0.67</v>
      </c>
      <c r="G68">
        <v>0.67</v>
      </c>
    </row>
  </sheetData>
  <sheetProtection/>
  <printOptions headings="1"/>
  <pageMargins left="0.75" right="0.75" top="0.75" bottom="0.5" header="0.25" footer="0.5"/>
  <pageSetup fitToHeight="1"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8.xml><?xml version="1.0" encoding="utf-8"?>
<worksheet xmlns="http://schemas.openxmlformats.org/spreadsheetml/2006/main" xmlns:r="http://schemas.openxmlformats.org/officeDocument/2006/relationships">
  <sheetPr codeName="Sheet7">
    <pageSetUpPr fitToPage="1"/>
  </sheetPr>
  <dimension ref="A1:G84"/>
  <sheetViews>
    <sheetView zoomScalePageLayoutView="0" workbookViewId="0" topLeftCell="A3">
      <selection activeCell="B12" sqref="B12"/>
    </sheetView>
  </sheetViews>
  <sheetFormatPr defaultColWidth="9.140625" defaultRowHeight="12.75"/>
  <cols>
    <col min="1" max="1" width="74.7109375" style="0" customWidth="1"/>
    <col min="2" max="2" width="10.00390625" style="0" customWidth="1"/>
  </cols>
  <sheetData>
    <row r="1" spans="1:7" ht="15.75">
      <c r="A1" s="59" t="s">
        <v>223</v>
      </c>
      <c r="B1" s="5">
        <v>2008</v>
      </c>
      <c r="C1">
        <v>2003</v>
      </c>
      <c r="D1">
        <v>2004</v>
      </c>
      <c r="E1" s="275">
        <v>2005</v>
      </c>
      <c r="F1" s="275">
        <v>2006</v>
      </c>
      <c r="G1" s="275">
        <v>2007</v>
      </c>
    </row>
    <row r="2" ht="12.75"/>
    <row r="3" spans="1:2" ht="15.75">
      <c r="A3" s="10" t="s">
        <v>171</v>
      </c>
      <c r="B3" s="294"/>
    </row>
    <row r="4" spans="1:2" ht="12.75">
      <c r="A4" s="8" t="s">
        <v>172</v>
      </c>
      <c r="B4" s="295"/>
    </row>
    <row r="5" spans="1:7" ht="12.75">
      <c r="A5" s="52" t="str">
        <f>+INPUT!B50</f>
        <v>Imported Water Nebraska</v>
      </c>
      <c r="B5" s="52">
        <f>+INPUT!C50</f>
        <v>0</v>
      </c>
      <c r="C5">
        <v>0</v>
      </c>
      <c r="D5">
        <v>0</v>
      </c>
      <c r="E5">
        <v>0</v>
      </c>
      <c r="F5">
        <v>0</v>
      </c>
      <c r="G5">
        <v>0</v>
      </c>
    </row>
    <row r="6" spans="1:7" ht="12.75">
      <c r="A6" s="52" t="str">
        <f>+INPUT!B16</f>
        <v>GW CBCU Colorado</v>
      </c>
      <c r="B6" s="52">
        <f>+INPUT!C16</f>
        <v>12892</v>
      </c>
      <c r="C6">
        <v>12115</v>
      </c>
      <c r="D6">
        <v>12874</v>
      </c>
      <c r="E6">
        <v>14952</v>
      </c>
      <c r="F6">
        <v>11756</v>
      </c>
      <c r="G6">
        <v>12511</v>
      </c>
    </row>
    <row r="7" spans="1:7" ht="12.75">
      <c r="A7" s="52" t="str">
        <f>+INPUT!B17</f>
        <v>GW CBCU Kansas</v>
      </c>
      <c r="B7" s="52">
        <f>+INPUT!C17</f>
        <v>5748</v>
      </c>
      <c r="C7">
        <v>5351</v>
      </c>
      <c r="D7">
        <v>5781</v>
      </c>
      <c r="E7">
        <v>7227</v>
      </c>
      <c r="F7">
        <v>4398</v>
      </c>
      <c r="G7">
        <v>5527</v>
      </c>
    </row>
    <row r="8" spans="1:7" ht="12" customHeight="1">
      <c r="A8" s="52" t="str">
        <f>+INPUT!B18</f>
        <v>GW CBCU Nebraska</v>
      </c>
      <c r="B8" s="52">
        <f>+INPUT!C18</f>
        <v>1030</v>
      </c>
      <c r="C8">
        <v>1347</v>
      </c>
      <c r="D8">
        <v>1202</v>
      </c>
      <c r="E8">
        <v>1372</v>
      </c>
      <c r="F8">
        <v>1040</v>
      </c>
      <c r="G8">
        <v>1055</v>
      </c>
    </row>
    <row r="9" spans="1:2" ht="12" customHeight="1">
      <c r="A9" s="9" t="s">
        <v>78</v>
      </c>
      <c r="B9" s="9"/>
    </row>
    <row r="10" spans="1:2" ht="12.75">
      <c r="A10" s="5" t="s">
        <v>174</v>
      </c>
      <c r="B10" s="2"/>
    </row>
    <row r="11" spans="1:7" ht="12.75">
      <c r="A11" s="52" t="str">
        <f>+INPUT!B187</f>
        <v>South Fork Republican River Near Benkelman</v>
      </c>
      <c r="B11" s="58">
        <f>+INPUT!C187</f>
        <v>1424</v>
      </c>
      <c r="C11">
        <v>905.35872</v>
      </c>
      <c r="D11">
        <v>0</v>
      </c>
      <c r="E11">
        <v>0</v>
      </c>
      <c r="F11">
        <v>0</v>
      </c>
      <c r="G11">
        <v>673.945</v>
      </c>
    </row>
    <row r="12" spans="1:7" ht="12.75">
      <c r="A12" s="52" t="str">
        <f>+INPUT!B214</f>
        <v>Bonny Reservoir Evaporation</v>
      </c>
      <c r="B12" s="52">
        <f>+INPUT!C214</f>
        <v>1979.8521250000001</v>
      </c>
      <c r="C12">
        <v>3375</v>
      </c>
      <c r="D12">
        <v>3158.1</v>
      </c>
      <c r="E12">
        <v>3429.5077083333335</v>
      </c>
      <c r="F12">
        <v>3030.795083333333</v>
      </c>
      <c r="G12">
        <v>2715.5</v>
      </c>
    </row>
    <row r="13" spans="1:7" ht="12.75">
      <c r="A13" s="52" t="str">
        <f>+INPUT!B215</f>
        <v>Bonny Reservoir Change In Storage</v>
      </c>
      <c r="B13" s="52">
        <f>+INPUT!C215</f>
        <v>1400.0000000000005</v>
      </c>
      <c r="C13">
        <v>-2226</v>
      </c>
      <c r="D13">
        <v>-2900</v>
      </c>
      <c r="E13">
        <v>-1500</v>
      </c>
      <c r="F13">
        <v>-2400</v>
      </c>
      <c r="G13">
        <v>-2000</v>
      </c>
    </row>
    <row r="14" spans="1:7" ht="12.75">
      <c r="A14" s="52" t="str">
        <f>+INPUT!B234</f>
        <v>Hale Ditch Diversions</v>
      </c>
      <c r="B14" s="52">
        <f>+INPUT!C234</f>
        <v>0</v>
      </c>
      <c r="C14">
        <v>0</v>
      </c>
      <c r="D14">
        <v>0</v>
      </c>
      <c r="E14">
        <v>0</v>
      </c>
      <c r="F14">
        <v>0</v>
      </c>
      <c r="G14">
        <v>43</v>
      </c>
    </row>
    <row r="15" spans="1:7" ht="12.75">
      <c r="A15" s="52" t="str">
        <f>+INPUT!B83</f>
        <v>SW Diversions - Irrigation -Non-Federal Canals- Colorado</v>
      </c>
      <c r="B15" s="52">
        <f>+INPUT!C83</f>
        <v>87</v>
      </c>
      <c r="C15">
        <v>996</v>
      </c>
      <c r="D15">
        <v>1283.3</v>
      </c>
      <c r="E15">
        <v>458</v>
      </c>
      <c r="F15">
        <v>0</v>
      </c>
      <c r="G15">
        <v>400</v>
      </c>
    </row>
    <row r="16" spans="1:7" ht="12.75">
      <c r="A16" s="104" t="str">
        <f>+INPUT!B84</f>
        <v>SW Diversions - Irrigation - Small Pumps - Colorado</v>
      </c>
      <c r="B16" s="104">
        <f>+INPUT!C84</f>
        <v>0</v>
      </c>
      <c r="C16">
        <v>0</v>
      </c>
      <c r="D16">
        <v>0</v>
      </c>
      <c r="E16">
        <v>0</v>
      </c>
      <c r="F16">
        <v>0</v>
      </c>
      <c r="G16">
        <v>0</v>
      </c>
    </row>
    <row r="17" spans="1:7" ht="12.75">
      <c r="A17" s="104" t="str">
        <f>+INPUT!B85</f>
        <v>SW Diversions - M&amp;I - Colorado</v>
      </c>
      <c r="B17" s="104">
        <f>+INPUT!C85</f>
        <v>0</v>
      </c>
      <c r="C17">
        <v>0</v>
      </c>
      <c r="D17">
        <v>0</v>
      </c>
      <c r="E17">
        <v>0</v>
      </c>
      <c r="F17">
        <v>0</v>
      </c>
      <c r="G17">
        <v>0</v>
      </c>
    </row>
    <row r="18" spans="1:7" ht="12.75">
      <c r="A18" s="104" t="str">
        <f>+INPUT!B86</f>
        <v>SW Diversions - Irrigation - Non-Federal Canals- Kansas</v>
      </c>
      <c r="B18" s="104">
        <f>+INPUT!C86</f>
        <v>0</v>
      </c>
      <c r="C18">
        <v>0</v>
      </c>
      <c r="D18">
        <v>0</v>
      </c>
      <c r="E18">
        <v>0</v>
      </c>
      <c r="F18">
        <v>0</v>
      </c>
      <c r="G18">
        <v>0</v>
      </c>
    </row>
    <row r="19" spans="1:7" ht="12.75">
      <c r="A19" s="104" t="str">
        <f>+INPUT!B87</f>
        <v>SW Diversions - Irrigation - Small Pumps - Kansas</v>
      </c>
      <c r="B19" s="104">
        <f>+INPUT!C87</f>
        <v>0</v>
      </c>
      <c r="C19">
        <v>39</v>
      </c>
      <c r="D19">
        <v>25</v>
      </c>
      <c r="E19">
        <v>13</v>
      </c>
      <c r="F19">
        <v>0</v>
      </c>
      <c r="G19">
        <v>0</v>
      </c>
    </row>
    <row r="20" spans="1:7" ht="12.75">
      <c r="A20" s="104" t="str">
        <f>+INPUT!B88</f>
        <v>SW Diversions - M&amp;I - Kansas</v>
      </c>
      <c r="B20" s="104">
        <f>+INPUT!C88</f>
        <v>0</v>
      </c>
      <c r="C20">
        <v>0</v>
      </c>
      <c r="D20">
        <v>0</v>
      </c>
      <c r="E20">
        <v>0</v>
      </c>
      <c r="F20">
        <v>0</v>
      </c>
      <c r="G20">
        <v>0</v>
      </c>
    </row>
    <row r="21" spans="1:7" ht="12.75">
      <c r="A21" s="104" t="str">
        <f>+INPUT!B89</f>
        <v>SW Diversions - Irrigation - Non-Federal Canals - Nebraska</v>
      </c>
      <c r="B21" s="104">
        <f>+INPUT!C89</f>
        <v>0</v>
      </c>
      <c r="C21">
        <v>0</v>
      </c>
      <c r="D21">
        <v>0</v>
      </c>
      <c r="E21">
        <v>0</v>
      </c>
      <c r="F21">
        <v>0</v>
      </c>
      <c r="G21">
        <v>0</v>
      </c>
    </row>
    <row r="22" spans="1:7" ht="12.75">
      <c r="A22" s="104" t="str">
        <f>+INPUT!B90</f>
        <v>SW Diversions - Irrigation - Small Pumps - Nebraska</v>
      </c>
      <c r="B22" s="104">
        <f>+INPUT!C90</f>
        <v>0</v>
      </c>
      <c r="C22">
        <v>0</v>
      </c>
      <c r="D22">
        <v>0</v>
      </c>
      <c r="E22">
        <v>0</v>
      </c>
      <c r="F22">
        <v>0</v>
      </c>
      <c r="G22">
        <v>0</v>
      </c>
    </row>
    <row r="23" spans="1:7" ht="12.75">
      <c r="A23" s="104" t="str">
        <f>INPUT!B91</f>
        <v>SW Diversions - M&amp;I - Nebraska</v>
      </c>
      <c r="B23" s="104">
        <f>INPUT!C91</f>
        <v>0</v>
      </c>
      <c r="C23">
        <v>0</v>
      </c>
      <c r="D23">
        <v>0</v>
      </c>
      <c r="E23">
        <v>0</v>
      </c>
      <c r="F23">
        <v>0</v>
      </c>
      <c r="G23">
        <v>0</v>
      </c>
    </row>
    <row r="24" spans="1:7" ht="12.75">
      <c r="A24" s="104" t="str">
        <f>+INPUT!B160</f>
        <v>Non-Federal Reservoir Evaporation - Colorado</v>
      </c>
      <c r="B24" s="104">
        <f>+INPUT!C160</f>
        <v>0</v>
      </c>
      <c r="C24">
        <v>0</v>
      </c>
      <c r="D24">
        <v>0</v>
      </c>
      <c r="E24">
        <v>0</v>
      </c>
      <c r="F24">
        <v>0</v>
      </c>
      <c r="G24">
        <v>0</v>
      </c>
    </row>
    <row r="25" spans="1:7" ht="12.75">
      <c r="A25" s="104" t="str">
        <f>+INPUT!B161</f>
        <v>Non-Federal Reservoir Evaporation - Kansas</v>
      </c>
      <c r="B25" s="104">
        <f>+INPUT!C161</f>
        <v>121</v>
      </c>
      <c r="C25">
        <v>0</v>
      </c>
      <c r="D25">
        <v>284.5</v>
      </c>
      <c r="E25">
        <v>284.5</v>
      </c>
      <c r="F25">
        <v>324.86</v>
      </c>
      <c r="G25">
        <v>144</v>
      </c>
    </row>
    <row r="26" spans="1:7" ht="12.75">
      <c r="A26" s="104" t="str">
        <f>+INPUT!B162</f>
        <v>Non-Federal Reservoir Evaporation - Nebraska</v>
      </c>
      <c r="B26" s="104">
        <f>+INPUT!C162</f>
        <v>0</v>
      </c>
      <c r="C26">
        <v>0</v>
      </c>
      <c r="D26">
        <v>0</v>
      </c>
      <c r="E26">
        <v>0</v>
      </c>
      <c r="F26">
        <v>0</v>
      </c>
      <c r="G26">
        <v>0</v>
      </c>
    </row>
    <row r="27" spans="1:7" ht="12.75">
      <c r="A27" s="104" t="str">
        <f>+INPUT!B203</f>
        <v>Southfork Flood Flow</v>
      </c>
      <c r="B27" s="104">
        <f>+INPUT!C203</f>
        <v>0</v>
      </c>
      <c r="C27">
        <v>0</v>
      </c>
      <c r="D27">
        <v>0</v>
      </c>
      <c r="E27">
        <v>0</v>
      </c>
      <c r="F27">
        <v>0</v>
      </c>
      <c r="G27">
        <v>0</v>
      </c>
    </row>
    <row r="28" spans="1:2" ht="12.75">
      <c r="A28" s="119" t="s">
        <v>78</v>
      </c>
      <c r="B28" s="16"/>
    </row>
    <row r="29" spans="1:2" ht="15.75">
      <c r="A29" s="10" t="s">
        <v>255</v>
      </c>
      <c r="B29" s="16"/>
    </row>
    <row r="30" spans="1:2" ht="12.75">
      <c r="A30" s="8" t="s">
        <v>0</v>
      </c>
      <c r="B30" s="16"/>
    </row>
    <row r="31" spans="1:7" ht="12.75">
      <c r="A31" s="12" t="s">
        <v>247</v>
      </c>
      <c r="B31" s="16">
        <f>+B14*CanalCUPercent</f>
        <v>0</v>
      </c>
      <c r="C31">
        <v>0</v>
      </c>
      <c r="D31">
        <v>0</v>
      </c>
      <c r="E31">
        <v>0</v>
      </c>
      <c r="F31">
        <v>0</v>
      </c>
      <c r="G31">
        <v>25.8</v>
      </c>
    </row>
    <row r="32" spans="1:7" ht="12.75">
      <c r="A32" s="16" t="str">
        <f>'NORTH FORK'!A23</f>
        <v>SW CBCU - Irrigation - Non Federal Canals</v>
      </c>
      <c r="B32" s="122">
        <f>B15*CanalCUPercent</f>
        <v>52.199999999999996</v>
      </c>
      <c r="C32">
        <v>597.6</v>
      </c>
      <c r="D32">
        <v>769.98</v>
      </c>
      <c r="E32">
        <v>274.8</v>
      </c>
      <c r="F32">
        <v>0</v>
      </c>
      <c r="G32">
        <v>240</v>
      </c>
    </row>
    <row r="33" spans="1:7" ht="12.75">
      <c r="A33" s="16" t="str">
        <f>'NORTH FORK'!A24</f>
        <v>SW CBCU - Irrigation - Small Pumps</v>
      </c>
      <c r="B33" s="122">
        <f>B16*PumperCUPercent</f>
        <v>0</v>
      </c>
      <c r="C33">
        <v>0</v>
      </c>
      <c r="D33">
        <v>0</v>
      </c>
      <c r="E33">
        <v>0</v>
      </c>
      <c r="F33">
        <v>0</v>
      </c>
      <c r="G33">
        <v>0</v>
      </c>
    </row>
    <row r="34" spans="1:7" ht="12.75">
      <c r="A34" s="16" t="str">
        <f>'NORTH FORK'!A25</f>
        <v>SW CBCU - M&amp;I</v>
      </c>
      <c r="B34" s="16">
        <f>+B17*MI_CUPercent</f>
        <v>0</v>
      </c>
      <c r="C34">
        <v>0</v>
      </c>
      <c r="D34">
        <v>0</v>
      </c>
      <c r="E34">
        <v>0</v>
      </c>
      <c r="F34">
        <v>0</v>
      </c>
      <c r="G34">
        <v>0</v>
      </c>
    </row>
    <row r="35" spans="1:7" ht="12.75">
      <c r="A35" s="16" t="str">
        <f>'NORTH FORK'!A26</f>
        <v>Non-Federal Reservoir Evaporation</v>
      </c>
      <c r="B35" s="16">
        <f>+B24</f>
        <v>0</v>
      </c>
      <c r="C35">
        <v>0</v>
      </c>
      <c r="D35">
        <v>0</v>
      </c>
      <c r="E35">
        <v>0</v>
      </c>
      <c r="F35">
        <v>0</v>
      </c>
      <c r="G35">
        <v>0</v>
      </c>
    </row>
    <row r="36" spans="1:7" ht="12.75">
      <c r="A36" s="97" t="str">
        <f>A12</f>
        <v>Bonny Reservoir Evaporation</v>
      </c>
      <c r="B36" s="16">
        <f>+B12</f>
        <v>1979.8521250000001</v>
      </c>
      <c r="C36">
        <v>3375</v>
      </c>
      <c r="D36">
        <v>3158.1</v>
      </c>
      <c r="E36">
        <v>3429.5077083333335</v>
      </c>
      <c r="F36">
        <v>3030.795083333333</v>
      </c>
      <c r="G36">
        <v>2715.5</v>
      </c>
    </row>
    <row r="37" spans="1:7" ht="12.75">
      <c r="A37" s="16" t="str">
        <f>'NORTH FORK'!A27</f>
        <v>SW CBCU</v>
      </c>
      <c r="B37" s="73">
        <f>B31+B32+B33+B34+B35+B36</f>
        <v>2032.0521250000002</v>
      </c>
      <c r="C37">
        <v>3972.6</v>
      </c>
      <c r="D37">
        <v>3928.08</v>
      </c>
      <c r="E37">
        <v>3704.3077083333337</v>
      </c>
      <c r="F37">
        <v>3030.795083333333</v>
      </c>
      <c r="G37">
        <v>2981.3</v>
      </c>
    </row>
    <row r="38" spans="1:7" ht="12.75">
      <c r="A38" s="16" t="str">
        <f>'NORTH FORK'!A28</f>
        <v>GW CBCU</v>
      </c>
      <c r="B38" s="16">
        <f>+B6</f>
        <v>12892</v>
      </c>
      <c r="C38">
        <v>12115</v>
      </c>
      <c r="D38">
        <v>12874</v>
      </c>
      <c r="E38">
        <v>14952</v>
      </c>
      <c r="F38">
        <v>11756</v>
      </c>
      <c r="G38">
        <v>12511</v>
      </c>
    </row>
    <row r="39" spans="1:7" ht="12.75">
      <c r="A39" s="16" t="str">
        <f>'NORTH FORK'!A29</f>
        <v>Total CBCU</v>
      </c>
      <c r="B39" s="73">
        <f>(ROUND(SUM(B37:B38),-1))</f>
        <v>14920</v>
      </c>
      <c r="C39">
        <v>16090</v>
      </c>
      <c r="D39">
        <v>16800</v>
      </c>
      <c r="E39">
        <v>18660</v>
      </c>
      <c r="F39">
        <v>14790</v>
      </c>
      <c r="G39">
        <v>15490</v>
      </c>
    </row>
    <row r="40" spans="1:2" ht="12.75">
      <c r="A40" s="16" t="s">
        <v>78</v>
      </c>
      <c r="B40" s="16"/>
    </row>
    <row r="41" spans="1:2" ht="12.75">
      <c r="A41" s="8" t="s">
        <v>175</v>
      </c>
      <c r="B41" s="16"/>
    </row>
    <row r="42" spans="1:7" ht="12.75">
      <c r="A42" s="16" t="str">
        <f>'NORTH FORK'!A23</f>
        <v>SW CBCU - Irrigation - Non Federal Canals</v>
      </c>
      <c r="B42" s="16">
        <f>+B18*CanalCUPercent</f>
        <v>0</v>
      </c>
      <c r="C42">
        <v>0</v>
      </c>
      <c r="D42">
        <v>0</v>
      </c>
      <c r="E42">
        <v>0</v>
      </c>
      <c r="F42">
        <v>0</v>
      </c>
      <c r="G42">
        <v>0</v>
      </c>
    </row>
    <row r="43" spans="1:7" ht="12.75">
      <c r="A43" s="16" t="str">
        <f>'NORTH FORK'!A24</f>
        <v>SW CBCU - Irrigation - Small Pumps</v>
      </c>
      <c r="B43" s="16">
        <f>+B19*PumperCUPercent</f>
        <v>0</v>
      </c>
      <c r="C43">
        <v>29.25</v>
      </c>
      <c r="D43">
        <v>18.75</v>
      </c>
      <c r="E43">
        <v>9.75</v>
      </c>
      <c r="F43">
        <v>0</v>
      </c>
      <c r="G43">
        <v>0</v>
      </c>
    </row>
    <row r="44" spans="1:7" ht="12.75">
      <c r="A44" s="16" t="str">
        <f>'NORTH FORK'!A25</f>
        <v>SW CBCU - M&amp;I</v>
      </c>
      <c r="B44" s="16">
        <f>+B20*MI_CUPercent</f>
        <v>0</v>
      </c>
      <c r="C44">
        <v>0</v>
      </c>
      <c r="D44">
        <v>0</v>
      </c>
      <c r="E44">
        <v>0</v>
      </c>
      <c r="F44">
        <v>0</v>
      </c>
      <c r="G44">
        <v>0</v>
      </c>
    </row>
    <row r="45" spans="1:7" ht="12.75">
      <c r="A45" s="16" t="str">
        <f>'NORTH FORK'!A26</f>
        <v>Non-Federal Reservoir Evaporation</v>
      </c>
      <c r="B45" s="16">
        <f>B25</f>
        <v>121</v>
      </c>
      <c r="C45">
        <v>0</v>
      </c>
      <c r="D45">
        <v>284.5</v>
      </c>
      <c r="E45">
        <v>284.5</v>
      </c>
      <c r="F45">
        <v>324.86</v>
      </c>
      <c r="G45">
        <v>144</v>
      </c>
    </row>
    <row r="46" spans="1:7" ht="12.75">
      <c r="A46" s="16" t="str">
        <f>'NORTH FORK'!A27</f>
        <v>SW CBCU</v>
      </c>
      <c r="B46" s="73">
        <f>B42+B43+B44+B45</f>
        <v>121</v>
      </c>
      <c r="C46">
        <v>29.25</v>
      </c>
      <c r="D46">
        <v>303.25</v>
      </c>
      <c r="E46">
        <v>294.25</v>
      </c>
      <c r="F46">
        <v>324.86</v>
      </c>
      <c r="G46">
        <v>144</v>
      </c>
    </row>
    <row r="47" spans="1:7" ht="12.75">
      <c r="A47" s="2" t="str">
        <f>'NORTH FORK'!A28</f>
        <v>GW CBCU</v>
      </c>
      <c r="B47" s="2">
        <f>+B7</f>
        <v>5748</v>
      </c>
      <c r="C47">
        <v>5351</v>
      </c>
      <c r="D47">
        <v>5781</v>
      </c>
      <c r="E47">
        <v>7227</v>
      </c>
      <c r="F47">
        <v>4398</v>
      </c>
      <c r="G47">
        <v>5527</v>
      </c>
    </row>
    <row r="48" spans="1:7" ht="12.75">
      <c r="A48" s="2" t="str">
        <f>'NORTH FORK'!A29</f>
        <v>Total CBCU</v>
      </c>
      <c r="B48" s="4">
        <f>(ROUND(SUM(B46:B47),-1))</f>
        <v>5870</v>
      </c>
      <c r="C48">
        <v>5380</v>
      </c>
      <c r="D48">
        <v>6080</v>
      </c>
      <c r="E48">
        <v>7520</v>
      </c>
      <c r="F48">
        <v>4720</v>
      </c>
      <c r="G48">
        <v>5670</v>
      </c>
    </row>
    <row r="49" spans="1:2" ht="12.75">
      <c r="A49" s="2" t="s">
        <v>78</v>
      </c>
      <c r="B49" s="2"/>
    </row>
    <row r="50" spans="1:2" ht="12.75">
      <c r="A50" s="8" t="s">
        <v>1</v>
      </c>
      <c r="B50" s="2"/>
    </row>
    <row r="51" spans="1:7" ht="12.75">
      <c r="A51" s="16" t="str">
        <f>'NORTH FORK'!A23</f>
        <v>SW CBCU - Irrigation - Non Federal Canals</v>
      </c>
      <c r="B51" s="4">
        <f>B21*CanalCUPercent</f>
        <v>0</v>
      </c>
      <c r="C51">
        <v>0</v>
      </c>
      <c r="D51">
        <v>0</v>
      </c>
      <c r="E51">
        <v>0</v>
      </c>
      <c r="F51">
        <v>0</v>
      </c>
      <c r="G51">
        <v>0</v>
      </c>
    </row>
    <row r="52" spans="1:7" ht="12.75">
      <c r="A52" s="2" t="str">
        <f>'NORTH FORK'!A24</f>
        <v>SW CBCU - Irrigation - Small Pumps</v>
      </c>
      <c r="B52" s="4">
        <f>B22*PumperCUPercent</f>
        <v>0</v>
      </c>
      <c r="C52">
        <v>0</v>
      </c>
      <c r="D52">
        <v>0</v>
      </c>
      <c r="E52">
        <v>0</v>
      </c>
      <c r="F52">
        <v>0</v>
      </c>
      <c r="G52">
        <v>0</v>
      </c>
    </row>
    <row r="53" spans="1:7" ht="12.75">
      <c r="A53" s="2" t="str">
        <f>'NORTH FORK'!A25</f>
        <v>SW CBCU - M&amp;I</v>
      </c>
      <c r="B53" s="2">
        <f>B23*MI_CUPercent</f>
        <v>0</v>
      </c>
      <c r="C53">
        <v>0</v>
      </c>
      <c r="D53">
        <v>0</v>
      </c>
      <c r="E53">
        <v>0</v>
      </c>
      <c r="F53">
        <v>0</v>
      </c>
      <c r="G53">
        <v>0</v>
      </c>
    </row>
    <row r="54" spans="1:7" ht="12.75">
      <c r="A54" s="2" t="str">
        <f>'NORTH FORK'!A26</f>
        <v>Non-Federal Reservoir Evaporation</v>
      </c>
      <c r="B54" s="2">
        <f>B26</f>
        <v>0</v>
      </c>
      <c r="C54">
        <v>0</v>
      </c>
      <c r="D54">
        <v>0</v>
      </c>
      <c r="E54">
        <v>0</v>
      </c>
      <c r="F54">
        <v>0</v>
      </c>
      <c r="G54">
        <v>0</v>
      </c>
    </row>
    <row r="55" spans="1:7" ht="12.75">
      <c r="A55" s="2" t="str">
        <f>'NORTH FORK'!A27</f>
        <v>SW CBCU</v>
      </c>
      <c r="B55" s="74">
        <f>B51+B52+B53+B54</f>
        <v>0</v>
      </c>
      <c r="C55">
        <v>0</v>
      </c>
      <c r="D55">
        <v>0</v>
      </c>
      <c r="E55">
        <v>0</v>
      </c>
      <c r="F55">
        <v>0</v>
      </c>
      <c r="G55">
        <v>0</v>
      </c>
    </row>
    <row r="56" spans="1:7" ht="12.75">
      <c r="A56" s="2" t="str">
        <f>'NORTH FORK'!A28</f>
        <v>GW CBCU</v>
      </c>
      <c r="B56" s="2">
        <f>+B8</f>
        <v>1030</v>
      </c>
      <c r="C56">
        <v>1347</v>
      </c>
      <c r="D56">
        <v>1202</v>
      </c>
      <c r="E56">
        <v>1372</v>
      </c>
      <c r="F56">
        <v>1040</v>
      </c>
      <c r="G56">
        <v>1055</v>
      </c>
    </row>
    <row r="57" spans="1:7" ht="12.75">
      <c r="A57" s="2" t="str">
        <f>'NORTH FORK'!A29</f>
        <v>Total CBCU</v>
      </c>
      <c r="B57" s="4">
        <f>(ROUND(SUM(B55:B56),-1))</f>
        <v>1030</v>
      </c>
      <c r="C57">
        <v>1350</v>
      </c>
      <c r="D57">
        <v>1200</v>
      </c>
      <c r="E57">
        <v>1370</v>
      </c>
      <c r="F57">
        <v>1040</v>
      </c>
      <c r="G57">
        <v>1060</v>
      </c>
    </row>
    <row r="58" spans="1:2" ht="12.75">
      <c r="A58" s="9" t="s">
        <v>78</v>
      </c>
      <c r="B58" s="2"/>
    </row>
    <row r="59" spans="1:2" ht="12.75">
      <c r="A59" s="5" t="s">
        <v>176</v>
      </c>
      <c r="B59" s="2"/>
    </row>
    <row r="60" spans="1:7" ht="12.75">
      <c r="A60" s="9" t="str">
        <f>'NORTH FORK'!A42</f>
        <v>Total SW CBCU</v>
      </c>
      <c r="B60" s="4">
        <f>+B37+B46+B55</f>
        <v>2153.052125</v>
      </c>
      <c r="C60">
        <v>4001.85</v>
      </c>
      <c r="D60">
        <v>4231.33</v>
      </c>
      <c r="E60">
        <v>3998.5577083333337</v>
      </c>
      <c r="F60">
        <v>3355.655083333333</v>
      </c>
      <c r="G60">
        <v>3125.3</v>
      </c>
    </row>
    <row r="61" spans="1:7" ht="12.75">
      <c r="A61" s="9" t="str">
        <f>'NORTH FORK'!A43</f>
        <v>Total GW CBCU</v>
      </c>
      <c r="B61" s="29">
        <f>B38+B47+B56</f>
        <v>19670</v>
      </c>
      <c r="C61">
        <v>18813</v>
      </c>
      <c r="D61">
        <v>19857</v>
      </c>
      <c r="E61">
        <v>23551</v>
      </c>
      <c r="F61">
        <v>17194</v>
      </c>
      <c r="G61">
        <v>19093</v>
      </c>
    </row>
    <row r="62" spans="1:7" ht="12.75">
      <c r="A62" s="9" t="str">
        <f>'NORTH FORK'!A44</f>
        <v>Total Basin CBCU</v>
      </c>
      <c r="B62" s="4">
        <f>(ROUND(SUM(B60:B61),-1))</f>
        <v>21820</v>
      </c>
      <c r="C62">
        <v>22810</v>
      </c>
      <c r="D62">
        <v>24090</v>
      </c>
      <c r="E62">
        <v>27550</v>
      </c>
      <c r="F62">
        <v>20550</v>
      </c>
      <c r="G62">
        <v>22220</v>
      </c>
    </row>
    <row r="63" spans="1:7" ht="12.75">
      <c r="A63" s="9" t="s">
        <v>78</v>
      </c>
      <c r="B63" s="2">
        <f>'T2'!F5</f>
        <v>0</v>
      </c>
      <c r="F63">
        <v>0</v>
      </c>
      <c r="G63">
        <v>0</v>
      </c>
    </row>
    <row r="64" spans="1:2" ht="15.75">
      <c r="A64" s="11" t="s">
        <v>10</v>
      </c>
      <c r="B64" s="2"/>
    </row>
    <row r="65" spans="1:7" ht="12.75">
      <c r="A65" s="2" t="str">
        <f>A11</f>
        <v>South Fork Republican River Near Benkelman</v>
      </c>
      <c r="B65" s="4">
        <f>B11</f>
        <v>1424</v>
      </c>
      <c r="C65">
        <v>905.35872</v>
      </c>
      <c r="D65">
        <v>0</v>
      </c>
      <c r="E65">
        <v>0</v>
      </c>
      <c r="F65">
        <v>0</v>
      </c>
      <c r="G65">
        <v>673.945</v>
      </c>
    </row>
    <row r="66" spans="1:7" ht="12.75">
      <c r="A66" s="2" t="str">
        <f>'NORTH FORK'!A49</f>
        <v>Colorado CBCU</v>
      </c>
      <c r="B66" s="4">
        <f>+B39</f>
        <v>14920</v>
      </c>
      <c r="C66">
        <v>16090</v>
      </c>
      <c r="D66">
        <v>16800</v>
      </c>
      <c r="E66">
        <v>18660</v>
      </c>
      <c r="F66">
        <v>14790</v>
      </c>
      <c r="G66">
        <v>15490</v>
      </c>
    </row>
    <row r="67" spans="1:7" ht="12.75">
      <c r="A67" s="2" t="str">
        <f>'NORTH FORK'!A50</f>
        <v>Kansas CBCU</v>
      </c>
      <c r="B67" s="4">
        <f>+B48</f>
        <v>5870</v>
      </c>
      <c r="C67">
        <v>5380</v>
      </c>
      <c r="D67">
        <v>6080</v>
      </c>
      <c r="E67">
        <v>7520</v>
      </c>
      <c r="F67">
        <v>4720</v>
      </c>
      <c r="G67">
        <v>5670</v>
      </c>
    </row>
    <row r="68" spans="1:7" ht="12.75">
      <c r="A68" s="2" t="str">
        <f>'NORTH FORK'!A51</f>
        <v>Nebraska CBCU</v>
      </c>
      <c r="B68" s="29">
        <f>B57</f>
        <v>1030</v>
      </c>
      <c r="C68">
        <v>1350</v>
      </c>
      <c r="D68">
        <v>1200</v>
      </c>
      <c r="E68">
        <v>1370</v>
      </c>
      <c r="F68">
        <v>1040</v>
      </c>
      <c r="G68">
        <v>1060</v>
      </c>
    </row>
    <row r="69" spans="1:7" ht="12.75">
      <c r="A69" s="2" t="str">
        <f>A13</f>
        <v>Bonny Reservoir Change In Storage</v>
      </c>
      <c r="B69" s="2">
        <f>+B13</f>
        <v>1400.0000000000005</v>
      </c>
      <c r="C69">
        <v>-2226</v>
      </c>
      <c r="D69">
        <v>-2900</v>
      </c>
      <c r="E69">
        <v>-1500</v>
      </c>
      <c r="F69">
        <v>-2400</v>
      </c>
      <c r="G69">
        <v>-2000</v>
      </c>
    </row>
    <row r="70" spans="1:7" ht="12.75">
      <c r="A70" s="2" t="str">
        <f>'NORTH FORK'!A52</f>
        <v>Imported Water</v>
      </c>
      <c r="B70" s="16">
        <f>+B5</f>
        <v>0</v>
      </c>
      <c r="C70">
        <v>0</v>
      </c>
      <c r="D70">
        <v>0</v>
      </c>
      <c r="E70">
        <v>0</v>
      </c>
      <c r="F70">
        <v>0</v>
      </c>
      <c r="G70">
        <v>0</v>
      </c>
    </row>
    <row r="71" spans="1:7" ht="12.75">
      <c r="A71" s="2" t="str">
        <f>'NORTH FORK'!A53</f>
        <v>Virgin Water Supply</v>
      </c>
      <c r="B71" s="4">
        <f>ROUND(SUM(B65:B69)-B70,-1)</f>
        <v>24640</v>
      </c>
      <c r="C71">
        <v>21500</v>
      </c>
      <c r="D71">
        <v>21180</v>
      </c>
      <c r="E71">
        <v>26050</v>
      </c>
      <c r="F71">
        <v>18150</v>
      </c>
      <c r="G71">
        <v>20890</v>
      </c>
    </row>
    <row r="72" spans="1:7" ht="12.75">
      <c r="A72" s="2" t="str">
        <f>'NORTH FORK'!A54</f>
        <v>Adjustment For Flood Flows</v>
      </c>
      <c r="B72" s="2">
        <f>B27</f>
        <v>0</v>
      </c>
      <c r="C72">
        <v>0</v>
      </c>
      <c r="D72">
        <v>0</v>
      </c>
      <c r="E72">
        <v>0</v>
      </c>
      <c r="F72">
        <v>0</v>
      </c>
      <c r="G72">
        <v>0</v>
      </c>
    </row>
    <row r="73" spans="1:7" ht="12.75">
      <c r="A73" s="2" t="str">
        <f>'NORTH FORK'!A55</f>
        <v>Computed Water Supply</v>
      </c>
      <c r="B73" s="4">
        <f>ROUND(+B71-B72-B69,-1)</f>
        <v>23240</v>
      </c>
      <c r="C73">
        <v>23730</v>
      </c>
      <c r="D73">
        <v>24080</v>
      </c>
      <c r="E73">
        <v>27550</v>
      </c>
      <c r="F73">
        <v>20550</v>
      </c>
      <c r="G73">
        <v>22890</v>
      </c>
    </row>
    <row r="74" spans="1:2" ht="12.75">
      <c r="A74" s="9" t="s">
        <v>78</v>
      </c>
      <c r="B74" s="2"/>
    </row>
    <row r="75" spans="1:2" ht="15.75">
      <c r="A75" s="11" t="s">
        <v>12</v>
      </c>
      <c r="B75" s="13"/>
    </row>
    <row r="76" spans="1:7" ht="12.75">
      <c r="A76" s="2" t="str">
        <f>'NORTH FORK'!A58</f>
        <v>Colorado Percent Of Allocation</v>
      </c>
      <c r="B76" s="15">
        <f>'T2'!$D7</f>
        <v>0.444</v>
      </c>
      <c r="C76">
        <v>0.444</v>
      </c>
      <c r="D76">
        <v>0.444</v>
      </c>
      <c r="E76">
        <v>0.444</v>
      </c>
      <c r="F76">
        <v>0.444</v>
      </c>
      <c r="G76">
        <v>0.444</v>
      </c>
    </row>
    <row r="77" spans="1:7" ht="12.75">
      <c r="A77" s="2" t="str">
        <f>'NORTH FORK'!A59</f>
        <v>Colorado Allocation</v>
      </c>
      <c r="B77" s="4">
        <f>ROUND(+B73*B76,-1)</f>
        <v>10320</v>
      </c>
      <c r="C77">
        <v>10540</v>
      </c>
      <c r="D77">
        <v>10690</v>
      </c>
      <c r="E77">
        <v>12230</v>
      </c>
      <c r="F77">
        <v>9120</v>
      </c>
      <c r="G77">
        <v>10160</v>
      </c>
    </row>
    <row r="78" spans="1:7" ht="12.75">
      <c r="A78" s="2" t="str">
        <f>'NORTH FORK'!A60</f>
        <v>Kansas Percent Of Allocation</v>
      </c>
      <c r="B78" s="15">
        <f>'T2'!$F7</f>
        <v>0.402</v>
      </c>
      <c r="C78">
        <v>0.402</v>
      </c>
      <c r="D78">
        <v>0.402</v>
      </c>
      <c r="E78">
        <v>0.402</v>
      </c>
      <c r="F78">
        <v>0.402</v>
      </c>
      <c r="G78">
        <v>0.402</v>
      </c>
    </row>
    <row r="79" spans="1:7" ht="12.75">
      <c r="A79" s="2" t="str">
        <f>'NORTH FORK'!A61</f>
        <v>Kansas Allocation</v>
      </c>
      <c r="B79" s="4">
        <f>ROUND(B73*B78,-1)</f>
        <v>9340</v>
      </c>
      <c r="C79">
        <v>9540</v>
      </c>
      <c r="D79">
        <v>9680</v>
      </c>
      <c r="E79">
        <v>11080</v>
      </c>
      <c r="F79">
        <v>8260</v>
      </c>
      <c r="G79">
        <v>9200</v>
      </c>
    </row>
    <row r="80" spans="1:7" ht="12.75">
      <c r="A80" s="2" t="str">
        <f>'NORTH FORK'!A62</f>
        <v>Nebraska Percent Of Allocation</v>
      </c>
      <c r="B80" s="15">
        <f>'T2'!$H7</f>
        <v>0.014</v>
      </c>
      <c r="C80">
        <v>0.014</v>
      </c>
      <c r="D80">
        <v>0.014</v>
      </c>
      <c r="E80">
        <v>0.014</v>
      </c>
      <c r="F80">
        <v>0.014</v>
      </c>
      <c r="G80">
        <v>0.014</v>
      </c>
    </row>
    <row r="81" spans="1:7" ht="12.75">
      <c r="A81" s="2" t="str">
        <f>'NORTH FORK'!A63</f>
        <v>Nebraska Allocation</v>
      </c>
      <c r="B81" s="4">
        <f>ROUND(B73*B80,-1)</f>
        <v>330</v>
      </c>
      <c r="C81">
        <v>330</v>
      </c>
      <c r="D81">
        <v>340</v>
      </c>
      <c r="E81">
        <v>390</v>
      </c>
      <c r="F81">
        <v>290</v>
      </c>
      <c r="G81">
        <v>320</v>
      </c>
    </row>
    <row r="82" spans="1:7" ht="12.75">
      <c r="A82" s="2" t="str">
        <f>'NORTH FORK'!A64</f>
        <v>Total Basin Allocation</v>
      </c>
      <c r="B82" s="4">
        <f>+B77+B79+B81</f>
        <v>19990</v>
      </c>
      <c r="C82">
        <v>20410</v>
      </c>
      <c r="D82">
        <v>20710</v>
      </c>
      <c r="E82">
        <v>23700</v>
      </c>
      <c r="F82">
        <v>17670</v>
      </c>
      <c r="G82">
        <v>19680</v>
      </c>
    </row>
    <row r="83" spans="1:7" ht="12.75">
      <c r="A83" s="2" t="str">
        <f>'NORTH FORK'!A65</f>
        <v>Percent Of Supply Not Allocated</v>
      </c>
      <c r="B83" s="15">
        <f>'T2'!$J7</f>
        <v>0.14</v>
      </c>
      <c r="C83">
        <v>0.14</v>
      </c>
      <c r="D83">
        <v>0.14</v>
      </c>
      <c r="E83">
        <v>0.14</v>
      </c>
      <c r="F83">
        <v>0.14</v>
      </c>
      <c r="G83">
        <v>0.14</v>
      </c>
    </row>
    <row r="84" spans="1:7" ht="12.75">
      <c r="A84" s="2" t="str">
        <f>'NORTH FORK'!A66</f>
        <v>Quantity Of Unallocated Supply</v>
      </c>
      <c r="B84" s="4">
        <f>+B73-B77-B79-B81</f>
        <v>3250</v>
      </c>
      <c r="C84">
        <v>3320</v>
      </c>
      <c r="D84">
        <v>3370</v>
      </c>
      <c r="E84">
        <v>3850</v>
      </c>
      <c r="F84">
        <v>2880</v>
      </c>
      <c r="G84">
        <v>3210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9.xml><?xml version="1.0" encoding="utf-8"?>
<worksheet xmlns="http://schemas.openxmlformats.org/spreadsheetml/2006/main" xmlns:r="http://schemas.openxmlformats.org/officeDocument/2006/relationships">
  <sheetPr codeName="Sheet8">
    <pageSetUpPr fitToPage="1"/>
  </sheetPr>
  <dimension ref="A1:G78"/>
  <sheetViews>
    <sheetView zoomScalePageLayoutView="0" workbookViewId="0" topLeftCell="A1">
      <selection activeCell="G63" sqref="G63"/>
    </sheetView>
  </sheetViews>
  <sheetFormatPr defaultColWidth="9.140625" defaultRowHeight="12.75"/>
  <cols>
    <col min="1" max="1" width="74.7109375" style="0" customWidth="1"/>
    <col min="2" max="2" width="17.28125" style="0" bestFit="1" customWidth="1"/>
  </cols>
  <sheetData>
    <row r="1" spans="1:7" ht="15.75">
      <c r="A1" s="59" t="s">
        <v>222</v>
      </c>
      <c r="B1" s="5">
        <v>2008</v>
      </c>
      <c r="C1">
        <v>2003</v>
      </c>
      <c r="D1">
        <v>2004</v>
      </c>
      <c r="E1" s="275">
        <v>2005</v>
      </c>
      <c r="F1" s="275">
        <v>2006</v>
      </c>
      <c r="G1" s="275">
        <v>2007</v>
      </c>
    </row>
    <row r="2" ht="12.75"/>
    <row r="3" spans="1:2" ht="15.75">
      <c r="A3" s="10" t="s">
        <v>171</v>
      </c>
      <c r="B3" s="294"/>
    </row>
    <row r="4" spans="1:2" ht="12.75">
      <c r="A4" s="8" t="s">
        <v>172</v>
      </c>
      <c r="B4" s="295"/>
    </row>
    <row r="5" spans="1:7" ht="12.75">
      <c r="A5" s="52" t="str">
        <f>+INPUT!B51</f>
        <v>Imported Water Nebraska</v>
      </c>
      <c r="B5" s="52">
        <f>+INPUT!C51</f>
        <v>0</v>
      </c>
      <c r="C5">
        <v>0</v>
      </c>
      <c r="D5">
        <v>0</v>
      </c>
      <c r="E5">
        <v>0</v>
      </c>
      <c r="F5">
        <v>0</v>
      </c>
      <c r="G5">
        <v>0</v>
      </c>
    </row>
    <row r="6" spans="1:7" ht="12.75">
      <c r="A6" s="52" t="str">
        <f>INPUT!B19</f>
        <v>GW CBCU Colorado</v>
      </c>
      <c r="B6" s="52">
        <f>+INPUT!C19</f>
        <v>345</v>
      </c>
      <c r="C6">
        <v>37</v>
      </c>
      <c r="D6">
        <v>39</v>
      </c>
      <c r="E6">
        <v>42</v>
      </c>
      <c r="F6">
        <v>43</v>
      </c>
      <c r="G6">
        <v>55</v>
      </c>
    </row>
    <row r="7" spans="1:7" ht="12.75">
      <c r="A7" s="52" t="str">
        <f>+INPUT!B20</f>
        <v>GW CBCU Kansas</v>
      </c>
      <c r="B7" s="52">
        <f>+INPUT!C20</f>
        <v>0</v>
      </c>
      <c r="C7">
        <v>0</v>
      </c>
      <c r="D7">
        <v>0</v>
      </c>
      <c r="E7">
        <v>0</v>
      </c>
      <c r="F7">
        <v>0</v>
      </c>
      <c r="G7">
        <v>0</v>
      </c>
    </row>
    <row r="8" spans="1:7" ht="12" customHeight="1">
      <c r="A8" s="52" t="str">
        <f>+INPUT!B21</f>
        <v>GW CBCU Nebraska</v>
      </c>
      <c r="B8" s="52">
        <f>+INPUT!C21</f>
        <v>78931</v>
      </c>
      <c r="C8">
        <v>85647</v>
      </c>
      <c r="D8">
        <v>89727</v>
      </c>
      <c r="E8">
        <v>82719</v>
      </c>
      <c r="F8">
        <v>78324</v>
      </c>
      <c r="G8">
        <v>79805</v>
      </c>
    </row>
    <row r="9" spans="1:2" ht="12" customHeight="1">
      <c r="A9" s="9" t="s">
        <v>78</v>
      </c>
      <c r="B9" s="9"/>
    </row>
    <row r="10" spans="1:2" ht="12.75">
      <c r="A10" s="5" t="s">
        <v>206</v>
      </c>
      <c r="B10" s="2"/>
    </row>
    <row r="11" spans="1:7" ht="12.75">
      <c r="A11" s="57" t="str">
        <f>+INPUT!B239</f>
        <v>Culbertson Canal % Return Flow</v>
      </c>
      <c r="B11" s="57">
        <f>+INPUT!C239</f>
        <v>1</v>
      </c>
      <c r="C11">
        <v>0.56</v>
      </c>
      <c r="D11">
        <v>0.658467373760664</v>
      </c>
      <c r="E11">
        <v>0.7808994209082596</v>
      </c>
      <c r="F11">
        <v>1</v>
      </c>
      <c r="G11">
        <v>1</v>
      </c>
    </row>
    <row r="12" spans="1:7" ht="12.75">
      <c r="A12" s="57" t="str">
        <f>+INPUT!B240</f>
        <v>Culbertson Canal Extension % Return Flow</v>
      </c>
      <c r="B12" s="57">
        <f>+INPUT!C240</f>
        <v>1</v>
      </c>
      <c r="C12">
        <v>1</v>
      </c>
      <c r="D12">
        <v>1</v>
      </c>
      <c r="E12">
        <v>1</v>
      </c>
      <c r="F12">
        <v>1</v>
      </c>
      <c r="G12">
        <v>1</v>
      </c>
    </row>
    <row r="13" spans="1:2" ht="12.75">
      <c r="A13" s="2" t="s">
        <v>78</v>
      </c>
      <c r="B13" s="2"/>
    </row>
    <row r="14" spans="1:2" ht="12.75">
      <c r="A14" s="5" t="s">
        <v>174</v>
      </c>
      <c r="B14" s="2"/>
    </row>
    <row r="15" spans="1:7" ht="12.75">
      <c r="A15" s="52" t="str">
        <f>+INPUT!B188</f>
        <v>Frenchman Creek At Culbertson</v>
      </c>
      <c r="B15" s="52">
        <f>+INPUT!C188</f>
        <v>33220</v>
      </c>
      <c r="C15">
        <v>13360</v>
      </c>
      <c r="D15">
        <v>19926</v>
      </c>
      <c r="E15">
        <v>23235</v>
      </c>
      <c r="F15">
        <v>22606</v>
      </c>
      <c r="G15">
        <v>44675.7</v>
      </c>
    </row>
    <row r="16" spans="1:7" ht="12.75">
      <c r="A16" s="52" t="str">
        <f>+INPUT!B216</f>
        <v>Enders Reservoir Evaporation</v>
      </c>
      <c r="B16" s="52">
        <f>+INPUT!C216</f>
        <v>1217.3028333333334</v>
      </c>
      <c r="C16">
        <v>1485</v>
      </c>
      <c r="D16">
        <v>966.6</v>
      </c>
      <c r="E16">
        <v>1247.6069166666668</v>
      </c>
      <c r="F16">
        <v>1365.535125</v>
      </c>
      <c r="G16">
        <v>1589.1</v>
      </c>
    </row>
    <row r="17" spans="1:7" ht="12.75">
      <c r="A17" s="52" t="str">
        <f>+INPUT!B217</f>
        <v>Enders Reservoir Change In Storage</v>
      </c>
      <c r="B17" s="52">
        <f>+INPUT!C217</f>
        <v>-1499.9999999999982</v>
      </c>
      <c r="C17">
        <v>-218</v>
      </c>
      <c r="D17">
        <v>300</v>
      </c>
      <c r="E17">
        <v>0</v>
      </c>
      <c r="F17">
        <v>-500</v>
      </c>
      <c r="G17">
        <v>5800</v>
      </c>
    </row>
    <row r="18" spans="1:7" ht="12.75">
      <c r="A18" s="52" t="str">
        <f>+INPUT!B235</f>
        <v>Champion Canal Diversions</v>
      </c>
      <c r="B18" s="52">
        <f>+INPUT!C235</f>
        <v>0</v>
      </c>
      <c r="C18">
        <v>0</v>
      </c>
      <c r="D18">
        <v>0</v>
      </c>
      <c r="E18">
        <v>0</v>
      </c>
      <c r="F18">
        <v>0</v>
      </c>
      <c r="G18">
        <v>0</v>
      </c>
    </row>
    <row r="19" spans="1:7" ht="12.75">
      <c r="A19" s="52" t="str">
        <f>+INPUT!B236</f>
        <v>Riverside Canal Diversions</v>
      </c>
      <c r="B19" s="52">
        <f>+INPUT!C236</f>
        <v>0</v>
      </c>
      <c r="C19">
        <v>1838</v>
      </c>
      <c r="D19">
        <v>1443</v>
      </c>
      <c r="E19">
        <v>2096</v>
      </c>
      <c r="F19">
        <v>0</v>
      </c>
      <c r="G19">
        <v>2096</v>
      </c>
    </row>
    <row r="20" spans="1:7" ht="12.75">
      <c r="A20" s="52" t="str">
        <f>+INPUT!B237</f>
        <v>Culbertson Canal Diversions</v>
      </c>
      <c r="B20" s="52">
        <f>+INPUT!C237</f>
        <v>0</v>
      </c>
      <c r="C20">
        <v>8002</v>
      </c>
      <c r="D20">
        <v>8674</v>
      </c>
      <c r="E20">
        <v>6562</v>
      </c>
      <c r="F20">
        <v>0</v>
      </c>
      <c r="G20">
        <v>0</v>
      </c>
    </row>
    <row r="21" spans="1:7" ht="12.75">
      <c r="A21" s="52" t="str">
        <f>+INPUT!B238</f>
        <v>Culbertson Canal Extension Diversions</v>
      </c>
      <c r="B21" s="52">
        <f>+INPUT!C238</f>
        <v>0</v>
      </c>
      <c r="C21">
        <v>0</v>
      </c>
      <c r="D21">
        <v>0</v>
      </c>
      <c r="E21">
        <v>0</v>
      </c>
      <c r="F21">
        <v>0</v>
      </c>
      <c r="G21">
        <v>0</v>
      </c>
    </row>
    <row r="22" spans="1:7" ht="12.75">
      <c r="A22" s="104" t="str">
        <f>+INPUT!B92</f>
        <v>SW Diversions - Irrigation - Non-Federal Canals - Nebraska</v>
      </c>
      <c r="B22" s="104">
        <f>+INPUT!C92</f>
        <v>0</v>
      </c>
      <c r="C22">
        <v>0</v>
      </c>
      <c r="D22">
        <v>0</v>
      </c>
      <c r="E22">
        <v>0</v>
      </c>
      <c r="F22">
        <v>0</v>
      </c>
      <c r="G22">
        <v>0</v>
      </c>
    </row>
    <row r="23" spans="1:7" ht="12.75">
      <c r="A23" s="104" t="str">
        <f>+INPUT!B93</f>
        <v>SW Diversions - Irrigation - Small Pumps - Nebraska</v>
      </c>
      <c r="B23" s="104">
        <f>+INPUT!C93</f>
        <v>1</v>
      </c>
      <c r="C23">
        <v>3.09</v>
      </c>
      <c r="D23">
        <v>21</v>
      </c>
      <c r="E23">
        <v>1.479</v>
      </c>
      <c r="F23">
        <v>0</v>
      </c>
      <c r="G23">
        <v>3</v>
      </c>
    </row>
    <row r="24" spans="1:7" ht="12.75">
      <c r="A24" s="104" t="str">
        <f>+INPUT!B94</f>
        <v>SW Diversions - M&amp;I - Nebraska</v>
      </c>
      <c r="B24" s="104">
        <f>+INPUT!C94</f>
        <v>0</v>
      </c>
      <c r="C24">
        <v>0</v>
      </c>
      <c r="D24">
        <v>0</v>
      </c>
      <c r="E24">
        <v>0</v>
      </c>
      <c r="F24">
        <v>0</v>
      </c>
      <c r="G24">
        <v>0</v>
      </c>
    </row>
    <row r="25" spans="1:7" ht="12.75">
      <c r="A25" s="104" t="str">
        <f>+INPUT!B163</f>
        <v>Non-Federal Reservoir Evaporation - Nebraska</v>
      </c>
      <c r="B25" s="104">
        <f>+INPUT!C163</f>
        <v>126</v>
      </c>
      <c r="C25">
        <v>0</v>
      </c>
      <c r="D25">
        <v>244.1</v>
      </c>
      <c r="E25">
        <v>134.8</v>
      </c>
      <c r="F25">
        <v>20.69</v>
      </c>
      <c r="G25">
        <v>152</v>
      </c>
    </row>
    <row r="26" spans="1:7" ht="12.75">
      <c r="A26" s="104" t="str">
        <f>+INPUT!B204</f>
        <v>Frenchman Flood Flow</v>
      </c>
      <c r="B26" s="104">
        <f>+INPUT!C204</f>
        <v>0</v>
      </c>
      <c r="C26">
        <v>0</v>
      </c>
      <c r="D26">
        <v>0</v>
      </c>
      <c r="E26">
        <v>0</v>
      </c>
      <c r="F26">
        <v>0</v>
      </c>
      <c r="G26">
        <v>0</v>
      </c>
    </row>
    <row r="27" spans="1:2" ht="12.75">
      <c r="A27" s="119" t="s">
        <v>78</v>
      </c>
      <c r="B27" s="16"/>
    </row>
    <row r="28" spans="1:2" ht="15.75">
      <c r="A28" s="10" t="s">
        <v>255</v>
      </c>
      <c r="B28" s="16"/>
    </row>
    <row r="29" spans="1:2" ht="12.75">
      <c r="A29" s="8" t="s">
        <v>0</v>
      </c>
      <c r="B29" s="16"/>
    </row>
    <row r="30" spans="1:7" ht="12.75">
      <c r="A30" s="16" t="str">
        <f>'NORTH FORK'!A28</f>
        <v>GW CBCU</v>
      </c>
      <c r="B30" s="16">
        <f>+B6</f>
        <v>345</v>
      </c>
      <c r="C30">
        <v>37</v>
      </c>
      <c r="D30">
        <v>39</v>
      </c>
      <c r="E30">
        <v>42</v>
      </c>
      <c r="F30">
        <v>43</v>
      </c>
      <c r="G30">
        <v>55</v>
      </c>
    </row>
    <row r="31" spans="1:7" ht="12.75">
      <c r="A31" s="16" t="str">
        <f>'NORTH FORK'!A29</f>
        <v>Total CBCU</v>
      </c>
      <c r="B31" s="73">
        <f>(ROUND(SUM(B30:B30),-1))</f>
        <v>350</v>
      </c>
      <c r="C31">
        <v>40</v>
      </c>
      <c r="D31">
        <v>40</v>
      </c>
      <c r="E31">
        <v>40</v>
      </c>
      <c r="F31">
        <v>40</v>
      </c>
      <c r="G31">
        <v>60</v>
      </c>
    </row>
    <row r="32" spans="1:2" ht="12.75">
      <c r="A32" s="16" t="s">
        <v>78</v>
      </c>
      <c r="B32" s="16"/>
    </row>
    <row r="33" spans="1:2" ht="12.75">
      <c r="A33" s="8" t="s">
        <v>175</v>
      </c>
      <c r="B33" s="16"/>
    </row>
    <row r="34" spans="1:7" ht="12.75">
      <c r="A34" s="16" t="str">
        <f>'NORTH FORK'!A28</f>
        <v>GW CBCU</v>
      </c>
      <c r="B34" s="16">
        <f>+B7</f>
        <v>0</v>
      </c>
      <c r="C34">
        <v>0</v>
      </c>
      <c r="D34">
        <v>0</v>
      </c>
      <c r="E34">
        <v>0</v>
      </c>
      <c r="F34">
        <v>0</v>
      </c>
      <c r="G34">
        <v>0</v>
      </c>
    </row>
    <row r="35" spans="1:7" ht="12.75">
      <c r="A35" s="16" t="str">
        <f>'NORTH FORK'!A29</f>
        <v>Total CBCU</v>
      </c>
      <c r="B35" s="73">
        <f>(ROUND(SUM(B34:B34),-1))</f>
        <v>0</v>
      </c>
      <c r="C35">
        <v>0</v>
      </c>
      <c r="D35">
        <v>0</v>
      </c>
      <c r="E35">
        <v>0</v>
      </c>
      <c r="F35">
        <v>0</v>
      </c>
      <c r="G35">
        <v>0</v>
      </c>
    </row>
    <row r="36" spans="1:2" ht="12.75">
      <c r="A36" s="16" t="s">
        <v>78</v>
      </c>
      <c r="B36" s="16"/>
    </row>
    <row r="37" spans="1:2" ht="12.75">
      <c r="A37" s="8" t="s">
        <v>1</v>
      </c>
      <c r="B37" s="16"/>
    </row>
    <row r="38" spans="1:7" ht="12.75">
      <c r="A38" s="16" t="str">
        <f>(LEFT(A18,14))&amp;" "&amp;"CBCU"</f>
        <v>Champion Canal CBCU</v>
      </c>
      <c r="B38" s="16">
        <f>+B18*CanalCUPercent</f>
        <v>0</v>
      </c>
      <c r="C38">
        <v>0</v>
      </c>
      <c r="D38">
        <v>0</v>
      </c>
      <c r="E38">
        <v>0</v>
      </c>
      <c r="F38">
        <v>0</v>
      </c>
      <c r="G38">
        <v>0</v>
      </c>
    </row>
    <row r="39" spans="1:7" ht="12.75">
      <c r="A39" s="16" t="str">
        <f>(LEFT(A19,15))&amp;" "&amp;"CBCU"</f>
        <v>Riverside Canal CBCU</v>
      </c>
      <c r="B39" s="16">
        <f>+B19*CanalCUPercent</f>
        <v>0</v>
      </c>
      <c r="C39">
        <v>1102.8</v>
      </c>
      <c r="D39">
        <v>865.8</v>
      </c>
      <c r="E39">
        <v>1257.6</v>
      </c>
      <c r="F39">
        <v>0</v>
      </c>
      <c r="G39">
        <v>1257.6</v>
      </c>
    </row>
    <row r="40" spans="1:7" ht="12.75">
      <c r="A40" s="16" t="str">
        <f>(LEFT(A20,16))&amp;" "&amp;"CBCU"</f>
        <v>Culbertson Canal CBCU</v>
      </c>
      <c r="B40" s="16">
        <f>+B20*(1-B11)</f>
        <v>0</v>
      </c>
      <c r="C40">
        <v>3520.88</v>
      </c>
      <c r="D40">
        <v>2962.4540000000006</v>
      </c>
      <c r="E40">
        <v>1437.7380000000005</v>
      </c>
      <c r="F40">
        <v>0</v>
      </c>
      <c r="G40">
        <v>0</v>
      </c>
    </row>
    <row r="41" spans="1:7" ht="12.75">
      <c r="A41" s="16" t="str">
        <f>(LEFT(A21,27))&amp;" "&amp;"CBCU"</f>
        <v>Culbertson Canal Extension  CBCU</v>
      </c>
      <c r="B41" s="97">
        <f>+B21*(1-B12)</f>
        <v>0</v>
      </c>
      <c r="C41">
        <v>0</v>
      </c>
      <c r="D41">
        <v>0</v>
      </c>
      <c r="E41">
        <v>0</v>
      </c>
      <c r="F41">
        <v>0</v>
      </c>
      <c r="G41">
        <v>0</v>
      </c>
    </row>
    <row r="42" spans="1:7" ht="12.75">
      <c r="A42" s="73" t="str">
        <f>'NORTH FORK'!A23</f>
        <v>SW CBCU - Irrigation - Non Federal Canals</v>
      </c>
      <c r="B42" s="120">
        <f>B22*CanalCUPercent</f>
        <v>0</v>
      </c>
      <c r="C42">
        <v>0</v>
      </c>
      <c r="D42">
        <v>0</v>
      </c>
      <c r="E42">
        <v>0</v>
      </c>
      <c r="F42">
        <v>0</v>
      </c>
      <c r="G42">
        <v>0</v>
      </c>
    </row>
    <row r="43" spans="1:7" ht="12.75">
      <c r="A43" s="73" t="str">
        <f>'NORTH FORK'!A24</f>
        <v>SW CBCU - Irrigation - Small Pumps</v>
      </c>
      <c r="B43" s="120">
        <f>B23*PumperCUPercent</f>
        <v>0.75</v>
      </c>
      <c r="C43">
        <v>2.3175</v>
      </c>
      <c r="D43">
        <v>15.75</v>
      </c>
      <c r="E43">
        <v>1.10925</v>
      </c>
      <c r="F43">
        <v>0</v>
      </c>
      <c r="G43">
        <v>2.25</v>
      </c>
    </row>
    <row r="44" spans="1:7" ht="12.75">
      <c r="A44" s="73" t="str">
        <f>'NORTH FORK'!A25</f>
        <v>SW CBCU - M&amp;I</v>
      </c>
      <c r="B44" s="97">
        <f>B24*MI_CUPercent</f>
        <v>0</v>
      </c>
      <c r="C44">
        <v>0</v>
      </c>
      <c r="D44">
        <v>0</v>
      </c>
      <c r="E44">
        <v>0</v>
      </c>
      <c r="F44">
        <v>0</v>
      </c>
      <c r="G44">
        <v>0</v>
      </c>
    </row>
    <row r="45" spans="1:7" ht="12.75">
      <c r="A45" s="16" t="str">
        <f>A16</f>
        <v>Enders Reservoir Evaporation</v>
      </c>
      <c r="B45" s="73">
        <f>+B16</f>
        <v>1217.3028333333334</v>
      </c>
      <c r="C45">
        <v>1485</v>
      </c>
      <c r="D45">
        <v>966.6</v>
      </c>
      <c r="E45">
        <v>1247.6069166666668</v>
      </c>
      <c r="F45">
        <v>1365.535125</v>
      </c>
      <c r="G45">
        <v>1589.1</v>
      </c>
    </row>
    <row r="46" spans="1:7" ht="12.75">
      <c r="A46" s="97" t="str">
        <f>'NORTH FORK'!A26</f>
        <v>Non-Federal Reservoir Evaporation</v>
      </c>
      <c r="B46" s="16">
        <f>B25</f>
        <v>126</v>
      </c>
      <c r="C46">
        <v>0</v>
      </c>
      <c r="D46">
        <v>244.1</v>
      </c>
      <c r="E46">
        <v>134.8</v>
      </c>
      <c r="F46">
        <v>20.69</v>
      </c>
      <c r="G46">
        <v>152</v>
      </c>
    </row>
    <row r="47" spans="1:7" ht="12.75">
      <c r="A47" s="97" t="str">
        <f>'NORTH FORK'!A27</f>
        <v>SW CBCU</v>
      </c>
      <c r="B47" s="120">
        <f>SUM(B38:B44)+SUM(B45:B46)</f>
        <v>1344.0528333333334</v>
      </c>
      <c r="C47">
        <v>6110.9974999999995</v>
      </c>
      <c r="D47">
        <v>5054.704000000001</v>
      </c>
      <c r="E47">
        <v>4078.8541666666674</v>
      </c>
      <c r="F47">
        <v>1386.2251250000002</v>
      </c>
      <c r="G47">
        <v>3000.95</v>
      </c>
    </row>
    <row r="48" spans="1:7" ht="12.75">
      <c r="A48" s="97" t="str">
        <f>'NORTH FORK'!A28</f>
        <v>GW CBCU</v>
      </c>
      <c r="B48" s="16">
        <f>+B8</f>
        <v>78931</v>
      </c>
      <c r="C48">
        <v>85647</v>
      </c>
      <c r="D48">
        <v>89727</v>
      </c>
      <c r="E48">
        <v>82719</v>
      </c>
      <c r="F48">
        <v>78324</v>
      </c>
      <c r="G48">
        <v>79805</v>
      </c>
    </row>
    <row r="49" spans="1:7" ht="12.75">
      <c r="A49" s="97" t="str">
        <f>'NORTH FORK'!A29</f>
        <v>Total CBCU</v>
      </c>
      <c r="B49" s="73">
        <f>(ROUND(SUM(B47:B48),-1))</f>
        <v>80280</v>
      </c>
      <c r="C49">
        <v>91760</v>
      </c>
      <c r="D49">
        <v>94780</v>
      </c>
      <c r="E49">
        <v>86800</v>
      </c>
      <c r="F49">
        <v>79710</v>
      </c>
      <c r="G49">
        <v>82810</v>
      </c>
    </row>
    <row r="50" spans="1:2" ht="12.75">
      <c r="A50" s="97" t="s">
        <v>78</v>
      </c>
      <c r="B50" s="16"/>
    </row>
    <row r="51" spans="1:2" ht="12.75">
      <c r="A51" s="5" t="s">
        <v>176</v>
      </c>
      <c r="B51" s="16"/>
    </row>
    <row r="52" spans="1:7" ht="12.75">
      <c r="A52" s="97" t="str">
        <f>'NORTH FORK'!A42</f>
        <v>Total SW CBCU</v>
      </c>
      <c r="B52" s="73">
        <f>B47</f>
        <v>1344.0528333333334</v>
      </c>
      <c r="C52">
        <v>6110.9974999999995</v>
      </c>
      <c r="D52">
        <v>5054.704000000001</v>
      </c>
      <c r="E52">
        <v>4078.8541666666674</v>
      </c>
      <c r="F52">
        <v>1386.2251250000002</v>
      </c>
      <c r="G52">
        <v>3000.95</v>
      </c>
    </row>
    <row r="53" spans="1:7" ht="12.75">
      <c r="A53" s="97" t="str">
        <f>'NORTH FORK'!A43</f>
        <v>Total GW CBCU</v>
      </c>
      <c r="B53" s="73">
        <f>+B30+B34+B48</f>
        <v>79276</v>
      </c>
      <c r="C53">
        <v>85684</v>
      </c>
      <c r="D53">
        <v>89766</v>
      </c>
      <c r="E53">
        <v>82761</v>
      </c>
      <c r="F53">
        <v>78367</v>
      </c>
      <c r="G53">
        <v>79860</v>
      </c>
    </row>
    <row r="54" spans="1:7" ht="12.75">
      <c r="A54" s="97" t="str">
        <f>'NORTH FORK'!A44</f>
        <v>Total Basin CBCU</v>
      </c>
      <c r="B54" s="73">
        <f>(ROUND(SUM(B52:B53),-1))</f>
        <v>80620</v>
      </c>
      <c r="C54">
        <v>91790</v>
      </c>
      <c r="D54">
        <v>94820</v>
      </c>
      <c r="E54">
        <v>86840</v>
      </c>
      <c r="F54">
        <v>79750</v>
      </c>
      <c r="G54">
        <v>82860</v>
      </c>
    </row>
    <row r="55" spans="1:2" ht="12.75">
      <c r="A55" s="97" t="s">
        <v>78</v>
      </c>
      <c r="B55" s="16"/>
    </row>
    <row r="56" spans="1:2" ht="15.75">
      <c r="A56" s="11" t="s">
        <v>10</v>
      </c>
      <c r="B56" s="16"/>
    </row>
    <row r="57" spans="1:7" ht="12.75">
      <c r="A57" s="16" t="str">
        <f>A15</f>
        <v>Frenchman Creek At Culbertson</v>
      </c>
      <c r="B57" s="73">
        <f>B15</f>
        <v>33220</v>
      </c>
      <c r="C57">
        <v>13360</v>
      </c>
      <c r="D57">
        <v>19926</v>
      </c>
      <c r="E57">
        <v>23235</v>
      </c>
      <c r="F57">
        <v>22606</v>
      </c>
      <c r="G57">
        <v>44675.7</v>
      </c>
    </row>
    <row r="58" spans="1:7" ht="12.75">
      <c r="A58" s="16" t="s">
        <v>442</v>
      </c>
      <c r="B58" s="73">
        <f>0.17*(B20*B11)</f>
        <v>0</v>
      </c>
      <c r="C58">
        <v>761.7904000000002</v>
      </c>
      <c r="D58">
        <v>970.96282</v>
      </c>
      <c r="E58">
        <v>871.12454</v>
      </c>
      <c r="F58">
        <v>0</v>
      </c>
      <c r="G58">
        <v>0</v>
      </c>
    </row>
    <row r="59" spans="1:7" ht="12.75">
      <c r="A59" s="16" t="s">
        <v>443</v>
      </c>
      <c r="B59" s="73">
        <f>B21*B12</f>
        <v>0</v>
      </c>
      <c r="C59">
        <v>0</v>
      </c>
      <c r="D59">
        <v>0</v>
      </c>
      <c r="E59">
        <v>0</v>
      </c>
      <c r="F59">
        <v>0</v>
      </c>
      <c r="G59">
        <v>0</v>
      </c>
    </row>
    <row r="60" spans="1:7" ht="12.75">
      <c r="A60" s="16" t="str">
        <f>'NORTH FORK'!A49</f>
        <v>Colorado CBCU</v>
      </c>
      <c r="B60" s="73">
        <f>+B31</f>
        <v>350</v>
      </c>
      <c r="C60">
        <v>40</v>
      </c>
      <c r="D60">
        <v>40</v>
      </c>
      <c r="E60">
        <v>40</v>
      </c>
      <c r="F60">
        <v>40</v>
      </c>
      <c r="G60">
        <v>60</v>
      </c>
    </row>
    <row r="61" spans="1:7" ht="12.75">
      <c r="A61" s="16" t="str">
        <f>'NORTH FORK'!A50</f>
        <v>Kansas CBCU</v>
      </c>
      <c r="B61" s="73">
        <f>+B35</f>
        <v>0</v>
      </c>
      <c r="C61">
        <v>0</v>
      </c>
      <c r="D61">
        <v>0</v>
      </c>
      <c r="E61">
        <v>0</v>
      </c>
      <c r="F61">
        <v>0</v>
      </c>
      <c r="G61">
        <v>0</v>
      </c>
    </row>
    <row r="62" spans="1:7" ht="12.75">
      <c r="A62" s="16" t="str">
        <f>'NORTH FORK'!A51</f>
        <v>Nebraska CBCU</v>
      </c>
      <c r="B62" s="73">
        <f>+B49</f>
        <v>80280</v>
      </c>
      <c r="C62">
        <v>91760</v>
      </c>
      <c r="D62">
        <v>94780</v>
      </c>
      <c r="E62">
        <v>86800</v>
      </c>
      <c r="F62">
        <v>79710</v>
      </c>
      <c r="G62">
        <v>82810</v>
      </c>
    </row>
    <row r="63" spans="1:7" ht="12.75">
      <c r="A63" s="16" t="str">
        <f>A17</f>
        <v>Enders Reservoir Change In Storage</v>
      </c>
      <c r="B63" s="16">
        <f>+B17</f>
        <v>-1499.9999999999982</v>
      </c>
      <c r="C63">
        <v>-218</v>
      </c>
      <c r="D63">
        <v>300</v>
      </c>
      <c r="E63">
        <v>0</v>
      </c>
      <c r="F63">
        <v>-500</v>
      </c>
      <c r="G63">
        <v>5800</v>
      </c>
    </row>
    <row r="64" spans="1:7" ht="12.75">
      <c r="A64" s="16" t="str">
        <f>'NORTH FORK'!A52</f>
        <v>Imported Water</v>
      </c>
      <c r="B64" s="16">
        <f>B5</f>
        <v>0</v>
      </c>
      <c r="C64">
        <v>0</v>
      </c>
      <c r="D64">
        <v>0</v>
      </c>
      <c r="E64">
        <v>0</v>
      </c>
      <c r="F64">
        <v>0</v>
      </c>
      <c r="G64">
        <v>0</v>
      </c>
    </row>
    <row r="65" spans="1:7" ht="12.75">
      <c r="A65" s="16" t="str">
        <f>'NORTH FORK'!A53</f>
        <v>Virgin Water Supply</v>
      </c>
      <c r="B65" s="73">
        <f>ROUND(SUM(B57:B63)-B64,-1)</f>
        <v>112350</v>
      </c>
      <c r="C65">
        <v>105700</v>
      </c>
      <c r="D65">
        <v>116020</v>
      </c>
      <c r="E65">
        <v>110950</v>
      </c>
      <c r="F65">
        <v>101860</v>
      </c>
      <c r="G65">
        <v>133350</v>
      </c>
    </row>
    <row r="66" spans="1:7" ht="12.75">
      <c r="A66" s="16" t="str">
        <f>'NORTH FORK'!A54</f>
        <v>Adjustment For Flood Flows</v>
      </c>
      <c r="B66" s="16">
        <f>B26</f>
        <v>0</v>
      </c>
      <c r="C66">
        <v>0</v>
      </c>
      <c r="D66">
        <v>0</v>
      </c>
      <c r="E66">
        <v>0</v>
      </c>
      <c r="F66">
        <v>0</v>
      </c>
      <c r="G66">
        <v>0</v>
      </c>
    </row>
    <row r="67" spans="1:7" ht="12.75">
      <c r="A67" s="16" t="str">
        <f>'NORTH FORK'!A55</f>
        <v>Computed Water Supply</v>
      </c>
      <c r="B67" s="73">
        <f>ROUND(+B65-B66-B63,-1)</f>
        <v>113850</v>
      </c>
      <c r="C67">
        <v>105920</v>
      </c>
      <c r="D67">
        <v>115720</v>
      </c>
      <c r="E67">
        <v>110950</v>
      </c>
      <c r="F67">
        <v>102360</v>
      </c>
      <c r="G67">
        <v>127550</v>
      </c>
    </row>
    <row r="68" spans="1:2" ht="12.75">
      <c r="A68" s="97" t="s">
        <v>78</v>
      </c>
      <c r="B68" s="16"/>
    </row>
    <row r="69" spans="1:2" ht="15.75">
      <c r="A69" s="11" t="s">
        <v>12</v>
      </c>
      <c r="B69" s="13"/>
    </row>
    <row r="70" spans="1:7" ht="12.75">
      <c r="A70" s="16" t="str">
        <f>'NORTH FORK'!A58</f>
        <v>Colorado Percent Of Allocation</v>
      </c>
      <c r="B70" s="123">
        <f>'T2'!$D8</f>
        <v>0</v>
      </c>
      <c r="C70">
        <v>0</v>
      </c>
      <c r="D70">
        <v>0</v>
      </c>
      <c r="E70">
        <v>0</v>
      </c>
      <c r="F70">
        <v>0</v>
      </c>
      <c r="G70">
        <v>0</v>
      </c>
    </row>
    <row r="71" spans="1:7" ht="12.75">
      <c r="A71" s="16" t="str">
        <f>'NORTH FORK'!A59</f>
        <v>Colorado Allocation</v>
      </c>
      <c r="B71" s="73">
        <f>ROUND(+B67*B70,-1)</f>
        <v>0</v>
      </c>
      <c r="C71">
        <v>0</v>
      </c>
      <c r="D71">
        <v>0</v>
      </c>
      <c r="E71">
        <v>0</v>
      </c>
      <c r="F71">
        <v>0</v>
      </c>
      <c r="G71">
        <v>0</v>
      </c>
    </row>
    <row r="72" spans="1:7" ht="12.75">
      <c r="A72" s="16" t="str">
        <f>'NORTH FORK'!A60</f>
        <v>Kansas Percent Of Allocation</v>
      </c>
      <c r="B72" s="123">
        <f>'T2'!$F8</f>
        <v>0</v>
      </c>
      <c r="C72">
        <v>0</v>
      </c>
      <c r="D72">
        <v>0</v>
      </c>
      <c r="E72">
        <v>0</v>
      </c>
      <c r="F72">
        <v>0</v>
      </c>
      <c r="G72">
        <v>0</v>
      </c>
    </row>
    <row r="73" spans="1:7" ht="12.75">
      <c r="A73" s="2" t="str">
        <f>'NORTH FORK'!A61</f>
        <v>Kansas Allocation</v>
      </c>
      <c r="B73" s="4">
        <f>ROUND(B67*B72,-1)</f>
        <v>0</v>
      </c>
      <c r="C73">
        <v>0</v>
      </c>
      <c r="D73">
        <v>0</v>
      </c>
      <c r="E73">
        <v>0</v>
      </c>
      <c r="F73">
        <v>0</v>
      </c>
      <c r="G73">
        <v>0</v>
      </c>
    </row>
    <row r="74" spans="1:7" ht="12.75">
      <c r="A74" s="2" t="str">
        <f>'NORTH FORK'!A62</f>
        <v>Nebraska Percent Of Allocation</v>
      </c>
      <c r="B74" s="15">
        <f>'T2'!$H8</f>
        <v>0.536</v>
      </c>
      <c r="C74">
        <v>0.536</v>
      </c>
      <c r="D74">
        <v>0.536</v>
      </c>
      <c r="E74">
        <v>0.536</v>
      </c>
      <c r="F74">
        <v>0.536</v>
      </c>
      <c r="G74">
        <v>0.536</v>
      </c>
    </row>
    <row r="75" spans="1:7" ht="12.75">
      <c r="A75" s="2" t="str">
        <f>'NORTH FORK'!A63</f>
        <v>Nebraska Allocation</v>
      </c>
      <c r="B75" s="4">
        <f>ROUND(B67*B74,-1)</f>
        <v>61020</v>
      </c>
      <c r="C75">
        <v>56770</v>
      </c>
      <c r="D75">
        <v>62030</v>
      </c>
      <c r="E75">
        <v>59470</v>
      </c>
      <c r="F75">
        <v>54860</v>
      </c>
      <c r="G75">
        <v>68370</v>
      </c>
    </row>
    <row r="76" spans="1:7" ht="12.75">
      <c r="A76" s="2" t="str">
        <f>'NORTH FORK'!A64</f>
        <v>Total Basin Allocation</v>
      </c>
      <c r="B76" s="4">
        <f>+B71+B73+B75</f>
        <v>61020</v>
      </c>
      <c r="C76">
        <v>56770</v>
      </c>
      <c r="D76">
        <v>62030</v>
      </c>
      <c r="E76">
        <v>59470</v>
      </c>
      <c r="F76">
        <v>54860</v>
      </c>
      <c r="G76">
        <v>68370</v>
      </c>
    </row>
    <row r="77" spans="1:7" ht="12.75">
      <c r="A77" s="2" t="str">
        <f>'NORTH FORK'!A65</f>
        <v>Percent Of Supply Not Allocated</v>
      </c>
      <c r="B77" s="15">
        <f>'T2'!$J8</f>
        <v>0.464</v>
      </c>
      <c r="C77">
        <v>0.464</v>
      </c>
      <c r="D77">
        <v>0.464</v>
      </c>
      <c r="E77">
        <v>0.464</v>
      </c>
      <c r="F77">
        <v>0.464</v>
      </c>
      <c r="G77">
        <v>0.464</v>
      </c>
    </row>
    <row r="78" spans="1:7" ht="12.75">
      <c r="A78" s="2" t="str">
        <f>'NORTH FORK'!A66</f>
        <v>Quantity Of Unallocated Supply</v>
      </c>
      <c r="B78" s="4">
        <f>+B67-B71-B73-B75</f>
        <v>52830</v>
      </c>
      <c r="C78">
        <v>49150</v>
      </c>
      <c r="D78">
        <v>53690</v>
      </c>
      <c r="E78">
        <v>51480</v>
      </c>
      <c r="F78">
        <v>47500</v>
      </c>
      <c r="G78">
        <v>59180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hcao</cp:lastModifiedBy>
  <cp:lastPrinted>2007-10-23T19:23:43Z</cp:lastPrinted>
  <dcterms:created xsi:type="dcterms:W3CDTF">2002-10-16T14:29:03Z</dcterms:created>
  <dcterms:modified xsi:type="dcterms:W3CDTF">2010-06-10T21:20:13Z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haredFileIndex">
    <vt:lpwstr/>
  </property>
  <property fmtid="{D5CDD505-2E9C-101B-9397-08002B2CF9AE}" pid="3" name="_NewReviewCycle">
    <vt:lpwstr/>
  </property>
</Properties>
</file>