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RCA\EC\Lovewell\Ops_review\"/>
    </mc:Choice>
  </mc:AlternateContent>
  <bookViews>
    <workbookView xWindow="14040" yWindow="0" windowWidth="12933" windowHeight="9813"/>
  </bookViews>
  <sheets>
    <sheet name="Doc" sheetId="4" r:id="rId1"/>
    <sheet name="ref" sheetId="5" r:id="rId2"/>
    <sheet name="RR_CBCU" sheetId="1" r:id="rId3"/>
    <sheet name="WRC_BurrOak_annual" sheetId="6" r:id="rId4"/>
    <sheet name="C-LOV" sheetId="8" r:id="rId5"/>
    <sheet name="C-BELOW" sheetId="9" r:id="rId6"/>
    <sheet name="LVKS_Out_AF" sheetId="7" r:id="rId7"/>
    <sheet name="WRC_BurrOak_monthly" sheetId="2" r:id="rId8"/>
    <sheet name="WRC_bl_Lovewell_USGS" sheetId="3" r:id="rId9"/>
  </sheets>
  <definedNames>
    <definedName name="_xlnm.Print_Area" localSheetId="2">RR_CBCU!$A$1:$L$45</definedName>
  </definedNames>
  <calcPr calcId="171027"/>
</workbook>
</file>

<file path=xl/calcChain.xml><?xml version="1.0" encoding="utf-8"?>
<calcChain xmlns="http://schemas.openxmlformats.org/spreadsheetml/2006/main">
  <c r="W30" i="1" l="1"/>
  <c r="P14" i="1"/>
  <c r="C48" i="1"/>
  <c r="C28" i="1" l="1"/>
  <c r="C33" i="1" l="1"/>
  <c r="D33" i="1"/>
  <c r="F33" i="1"/>
  <c r="H33" i="1"/>
  <c r="K33" i="1"/>
  <c r="J33" i="1"/>
  <c r="I33" i="1"/>
  <c r="P40" i="1" l="1"/>
  <c r="I38" i="1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O2" i="3"/>
  <c r="O1" i="3"/>
  <c r="O3" i="3" s="1"/>
  <c r="AA46" i="1" l="1"/>
  <c r="AA44" i="1"/>
  <c r="U30" i="1" l="1"/>
  <c r="S30" i="1"/>
  <c r="P65" i="1"/>
  <c r="P16" i="1" l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O3" i="6" l="1"/>
  <c r="O2" i="6"/>
  <c r="O1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N7" i="2" l="1"/>
  <c r="O2" i="2" l="1"/>
  <c r="O1" i="2"/>
  <c r="O3" i="2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N66" i="2" l="1"/>
  <c r="N62" i="2"/>
  <c r="N58" i="2"/>
  <c r="N54" i="2"/>
  <c r="N50" i="2"/>
  <c r="N46" i="2"/>
  <c r="N42" i="2"/>
  <c r="N38" i="2"/>
  <c r="N34" i="2"/>
  <c r="N30" i="2"/>
  <c r="N26" i="2"/>
  <c r="N22" i="2"/>
  <c r="N18" i="2"/>
  <c r="N14" i="2"/>
  <c r="N10" i="2"/>
  <c r="N65" i="2"/>
  <c r="N61" i="2"/>
  <c r="N57" i="2"/>
  <c r="N53" i="2"/>
  <c r="N49" i="2"/>
  <c r="N45" i="2"/>
  <c r="N41" i="2"/>
  <c r="N37" i="2"/>
  <c r="N33" i="2"/>
  <c r="N29" i="2"/>
  <c r="N25" i="2"/>
  <c r="N21" i="2"/>
  <c r="N17" i="2"/>
  <c r="N13" i="2"/>
  <c r="N9" i="2"/>
  <c r="N64" i="2"/>
  <c r="N60" i="2"/>
  <c r="N56" i="2"/>
  <c r="N52" i="2"/>
  <c r="N48" i="2"/>
  <c r="N44" i="2"/>
  <c r="N40" i="2"/>
  <c r="N36" i="2"/>
  <c r="N32" i="2"/>
  <c r="N28" i="2"/>
  <c r="N24" i="2"/>
  <c r="N20" i="2"/>
  <c r="N16" i="2"/>
  <c r="N12" i="2"/>
  <c r="N8" i="2"/>
  <c r="N63" i="2"/>
  <c r="N59" i="2"/>
  <c r="N55" i="2"/>
  <c r="N51" i="2"/>
  <c r="N47" i="2"/>
  <c r="N43" i="2"/>
  <c r="N39" i="2"/>
  <c r="N35" i="2"/>
  <c r="N31" i="2"/>
  <c r="N27" i="2"/>
  <c r="N23" i="2"/>
  <c r="N19" i="2"/>
  <c r="N15" i="2"/>
  <c r="N11" i="2"/>
  <c r="F9" i="5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N66" i="7"/>
  <c r="N65" i="7"/>
  <c r="N64" i="7"/>
  <c r="N63" i="7"/>
  <c r="N62" i="7"/>
  <c r="N61" i="7"/>
  <c r="N60" i="7"/>
  <c r="N59" i="7"/>
  <c r="N58" i="7"/>
  <c r="N57" i="7"/>
  <c r="N56" i="7"/>
  <c r="N55" i="7"/>
  <c r="I54" i="7"/>
  <c r="H54" i="7"/>
  <c r="G54" i="7"/>
  <c r="N54" i="7" s="1"/>
  <c r="I53" i="7"/>
  <c r="H53" i="7"/>
  <c r="G53" i="7"/>
  <c r="F53" i="7"/>
  <c r="N53" i="7" s="1"/>
  <c r="I52" i="7"/>
  <c r="H52" i="7"/>
  <c r="G52" i="7"/>
  <c r="F52" i="7"/>
  <c r="N52" i="7" s="1"/>
  <c r="N51" i="7"/>
  <c r="N50" i="7"/>
  <c r="N49" i="7"/>
  <c r="N48" i="7"/>
  <c r="N47" i="7"/>
  <c r="N46" i="7"/>
  <c r="N45" i="7"/>
  <c r="N44" i="7"/>
  <c r="J43" i="7"/>
  <c r="I43" i="7"/>
  <c r="H43" i="7"/>
  <c r="G43" i="7"/>
  <c r="F43" i="7"/>
  <c r="N43" i="7" s="1"/>
  <c r="J42" i="7"/>
  <c r="I42" i="7"/>
  <c r="H42" i="7"/>
  <c r="G42" i="7"/>
  <c r="F42" i="7"/>
  <c r="N42" i="7" s="1"/>
  <c r="J41" i="7"/>
  <c r="I41" i="7"/>
  <c r="H41" i="7"/>
  <c r="G41" i="7"/>
  <c r="N41" i="7" s="1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27" i="1"/>
  <c r="X27" i="1" s="1"/>
  <c r="C26" i="1"/>
  <c r="X26" i="1" s="1"/>
  <c r="C25" i="1"/>
  <c r="X25" i="1" s="1"/>
  <c r="C24" i="1"/>
  <c r="X24" i="1" s="1"/>
  <c r="C23" i="1"/>
  <c r="X23" i="1" s="1"/>
  <c r="C22" i="1"/>
  <c r="X22" i="1" s="1"/>
  <c r="C21" i="1"/>
  <c r="X21" i="1" s="1"/>
  <c r="C20" i="1"/>
  <c r="X20" i="1" s="1"/>
  <c r="C19" i="1"/>
  <c r="X19" i="1" s="1"/>
  <c r="C18" i="1"/>
  <c r="X18" i="1" s="1"/>
  <c r="C17" i="1"/>
  <c r="X17" i="1" s="1"/>
  <c r="C16" i="1"/>
  <c r="X16" i="1" s="1"/>
  <c r="C15" i="1"/>
  <c r="X15" i="1" s="1"/>
  <c r="C14" i="1"/>
  <c r="X14" i="1" s="1"/>
  <c r="C13" i="1"/>
  <c r="X13" i="1" s="1"/>
  <c r="C12" i="1"/>
  <c r="X12" i="1" s="1"/>
  <c r="C11" i="1"/>
  <c r="X11" i="1" s="1"/>
  <c r="C10" i="1"/>
  <c r="X10" i="1" s="1"/>
  <c r="C9" i="1"/>
  <c r="X9" i="1" s="1"/>
  <c r="C8" i="1"/>
  <c r="X8" i="1" s="1"/>
  <c r="C7" i="1"/>
  <c r="X7" i="1" s="1"/>
  <c r="C6" i="1"/>
  <c r="X6" i="1" s="1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D26" i="1"/>
  <c r="D22" i="1"/>
  <c r="D18" i="1"/>
  <c r="D14" i="1"/>
  <c r="D10" i="1"/>
  <c r="D6" i="1"/>
  <c r="G66" i="6"/>
  <c r="H66" i="6" s="1"/>
  <c r="J66" i="6" s="1"/>
  <c r="G65" i="6"/>
  <c r="H65" i="6" s="1"/>
  <c r="J65" i="6" s="1"/>
  <c r="G64" i="6"/>
  <c r="H64" i="6" s="1"/>
  <c r="J64" i="6" s="1"/>
  <c r="G63" i="6"/>
  <c r="H63" i="6" s="1"/>
  <c r="J63" i="6" s="1"/>
  <c r="G62" i="6"/>
  <c r="H62" i="6" s="1"/>
  <c r="J62" i="6" s="1"/>
  <c r="G61" i="6"/>
  <c r="H61" i="6" s="1"/>
  <c r="J61" i="6" s="1"/>
  <c r="G60" i="6"/>
  <c r="H60" i="6" s="1"/>
  <c r="J60" i="6" s="1"/>
  <c r="G59" i="6"/>
  <c r="H59" i="6" s="1"/>
  <c r="J59" i="6" s="1"/>
  <c r="G58" i="6"/>
  <c r="H58" i="6" s="1"/>
  <c r="J58" i="6" s="1"/>
  <c r="G57" i="6"/>
  <c r="H57" i="6" s="1"/>
  <c r="J57" i="6" s="1"/>
  <c r="G56" i="6"/>
  <c r="H56" i="6" s="1"/>
  <c r="J56" i="6" s="1"/>
  <c r="G55" i="6"/>
  <c r="H55" i="6" s="1"/>
  <c r="J55" i="6" s="1"/>
  <c r="G54" i="6"/>
  <c r="H54" i="6" s="1"/>
  <c r="J54" i="6" s="1"/>
  <c r="G53" i="6"/>
  <c r="H53" i="6" s="1"/>
  <c r="J53" i="6" s="1"/>
  <c r="G52" i="6"/>
  <c r="H52" i="6" s="1"/>
  <c r="J52" i="6" s="1"/>
  <c r="G51" i="6"/>
  <c r="H51" i="6" s="1"/>
  <c r="J51" i="6" s="1"/>
  <c r="G50" i="6"/>
  <c r="H50" i="6" s="1"/>
  <c r="J50" i="6" s="1"/>
  <c r="G49" i="6"/>
  <c r="H49" i="6" s="1"/>
  <c r="J49" i="6" s="1"/>
  <c r="G48" i="6"/>
  <c r="H48" i="6" s="1"/>
  <c r="J48" i="6" s="1"/>
  <c r="G47" i="6"/>
  <c r="H47" i="6" s="1"/>
  <c r="J47" i="6" s="1"/>
  <c r="G46" i="6"/>
  <c r="H46" i="6" s="1"/>
  <c r="J46" i="6" s="1"/>
  <c r="G45" i="6"/>
  <c r="H45" i="6" s="1"/>
  <c r="J45" i="6" s="1"/>
  <c r="G44" i="6"/>
  <c r="H44" i="6" s="1"/>
  <c r="J44" i="6" s="1"/>
  <c r="G43" i="6"/>
  <c r="H43" i="6" s="1"/>
  <c r="J43" i="6" s="1"/>
  <c r="G42" i="6"/>
  <c r="H42" i="6" s="1"/>
  <c r="J42" i="6" s="1"/>
  <c r="G41" i="6"/>
  <c r="H41" i="6" s="1"/>
  <c r="J41" i="6" s="1"/>
  <c r="G40" i="6"/>
  <c r="H40" i="6" s="1"/>
  <c r="J40" i="6" s="1"/>
  <c r="G39" i="6"/>
  <c r="H39" i="6" s="1"/>
  <c r="J39" i="6" s="1"/>
  <c r="G38" i="6"/>
  <c r="H38" i="6" s="1"/>
  <c r="J38" i="6" s="1"/>
  <c r="G37" i="6"/>
  <c r="H37" i="6" s="1"/>
  <c r="J37" i="6" s="1"/>
  <c r="G36" i="6"/>
  <c r="H36" i="6" s="1"/>
  <c r="J36" i="6" s="1"/>
  <c r="G35" i="6"/>
  <c r="H35" i="6" s="1"/>
  <c r="J35" i="6" s="1"/>
  <c r="G34" i="6"/>
  <c r="H34" i="6" s="1"/>
  <c r="J34" i="6" s="1"/>
  <c r="G33" i="6"/>
  <c r="H33" i="6" s="1"/>
  <c r="J33" i="6" s="1"/>
  <c r="G32" i="6"/>
  <c r="H32" i="6" s="1"/>
  <c r="J32" i="6" s="1"/>
  <c r="G31" i="6"/>
  <c r="H31" i="6" s="1"/>
  <c r="J31" i="6" s="1"/>
  <c r="G30" i="6"/>
  <c r="H30" i="6" s="1"/>
  <c r="J30" i="6" s="1"/>
  <c r="G29" i="6"/>
  <c r="H29" i="6" s="1"/>
  <c r="J29" i="6" s="1"/>
  <c r="G28" i="6"/>
  <c r="H28" i="6" s="1"/>
  <c r="J28" i="6" s="1"/>
  <c r="G27" i="6"/>
  <c r="H27" i="6" s="1"/>
  <c r="J27" i="6" s="1"/>
  <c r="G26" i="6"/>
  <c r="H26" i="6" s="1"/>
  <c r="J26" i="6" s="1"/>
  <c r="G25" i="6"/>
  <c r="H25" i="6" s="1"/>
  <c r="J25" i="6" s="1"/>
  <c r="G24" i="6"/>
  <c r="H24" i="6" s="1"/>
  <c r="J24" i="6" s="1"/>
  <c r="G23" i="6"/>
  <c r="H23" i="6" s="1"/>
  <c r="J23" i="6" s="1"/>
  <c r="G22" i="6"/>
  <c r="H22" i="6" s="1"/>
  <c r="J22" i="6" s="1"/>
  <c r="G21" i="6"/>
  <c r="H21" i="6" s="1"/>
  <c r="J21" i="6" s="1"/>
  <c r="G20" i="6"/>
  <c r="H20" i="6" s="1"/>
  <c r="J20" i="6" s="1"/>
  <c r="G19" i="6"/>
  <c r="H19" i="6" s="1"/>
  <c r="J19" i="6" s="1"/>
  <c r="G18" i="6"/>
  <c r="H18" i="6" s="1"/>
  <c r="J18" i="6" s="1"/>
  <c r="G17" i="6"/>
  <c r="H17" i="6" s="1"/>
  <c r="J17" i="6" s="1"/>
  <c r="G16" i="6"/>
  <c r="H16" i="6" s="1"/>
  <c r="J16" i="6" s="1"/>
  <c r="G15" i="6"/>
  <c r="H15" i="6" s="1"/>
  <c r="J15" i="6" s="1"/>
  <c r="G14" i="6"/>
  <c r="H14" i="6" s="1"/>
  <c r="J14" i="6" s="1"/>
  <c r="G13" i="6"/>
  <c r="H13" i="6" s="1"/>
  <c r="J13" i="6" s="1"/>
  <c r="G12" i="6"/>
  <c r="H12" i="6" s="1"/>
  <c r="J12" i="6" s="1"/>
  <c r="G11" i="6"/>
  <c r="H11" i="6" s="1"/>
  <c r="J11" i="6" s="1"/>
  <c r="G10" i="6"/>
  <c r="H10" i="6" s="1"/>
  <c r="J10" i="6" s="1"/>
  <c r="G9" i="6"/>
  <c r="H9" i="6" s="1"/>
  <c r="J9" i="6" s="1"/>
  <c r="G8" i="6"/>
  <c r="H8" i="6" s="1"/>
  <c r="J8" i="6" s="1"/>
  <c r="G7" i="6"/>
  <c r="H7" i="6" s="1"/>
  <c r="J7" i="6" s="1"/>
  <c r="F2" i="5"/>
  <c r="F1" i="5"/>
  <c r="F3" i="5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N11" i="1"/>
  <c r="N7" i="1"/>
  <c r="N13" i="1"/>
  <c r="N12" i="1"/>
  <c r="N10" i="1"/>
  <c r="N9" i="1"/>
  <c r="N8" i="1"/>
  <c r="N6" i="1"/>
  <c r="D7" i="1" l="1"/>
  <c r="D11" i="1"/>
  <c r="D15" i="1"/>
  <c r="D19" i="1"/>
  <c r="G19" i="1" s="1"/>
  <c r="D23" i="1"/>
  <c r="D27" i="1"/>
  <c r="G28" i="1"/>
  <c r="D8" i="1"/>
  <c r="G8" i="1" s="1"/>
  <c r="D12" i="1"/>
  <c r="D16" i="1"/>
  <c r="D20" i="1"/>
  <c r="G20" i="1" s="1"/>
  <c r="D24" i="1"/>
  <c r="G24" i="1" s="1"/>
  <c r="D28" i="1"/>
  <c r="D9" i="1"/>
  <c r="D13" i="1"/>
  <c r="D17" i="1"/>
  <c r="G17" i="1" s="1"/>
  <c r="D21" i="1"/>
  <c r="D25" i="1"/>
  <c r="G9" i="1"/>
  <c r="G13" i="1"/>
  <c r="G21" i="1"/>
  <c r="G25" i="1"/>
  <c r="G6" i="1"/>
  <c r="G10" i="1"/>
  <c r="G14" i="1"/>
  <c r="G18" i="1"/>
  <c r="G22" i="1"/>
  <c r="G26" i="1"/>
  <c r="G7" i="1"/>
  <c r="G11" i="1"/>
  <c r="G15" i="1"/>
  <c r="G23" i="1"/>
  <c r="G27" i="1"/>
  <c r="G12" i="1"/>
  <c r="G16" i="1"/>
  <c r="K9" i="1"/>
  <c r="K13" i="1"/>
  <c r="K17" i="1"/>
  <c r="K21" i="1"/>
  <c r="K25" i="1"/>
  <c r="K6" i="1"/>
  <c r="K10" i="1"/>
  <c r="K14" i="1"/>
  <c r="K18" i="1"/>
  <c r="K22" i="1"/>
  <c r="K26" i="1"/>
  <c r="K7" i="1"/>
  <c r="K11" i="1"/>
  <c r="K15" i="1"/>
  <c r="K19" i="1"/>
  <c r="K23" i="1"/>
  <c r="K27" i="1"/>
  <c r="K8" i="1"/>
  <c r="K12" i="1"/>
  <c r="K16" i="1"/>
  <c r="K20" i="1"/>
  <c r="K24" i="1"/>
  <c r="K28" i="1"/>
  <c r="C57" i="1" l="1"/>
  <c r="C58" i="1"/>
  <c r="G33" i="1"/>
  <c r="B57" i="1"/>
  <c r="B58" i="1"/>
  <c r="H23" i="1"/>
  <c r="H26" i="1"/>
  <c r="H10" i="1"/>
  <c r="H24" i="1"/>
  <c r="H8" i="1"/>
  <c r="H13" i="1"/>
  <c r="H19" i="1"/>
  <c r="H22" i="1"/>
  <c r="H6" i="1"/>
  <c r="H20" i="1"/>
  <c r="H25" i="1"/>
  <c r="H9" i="1"/>
  <c r="H7" i="1"/>
  <c r="H15" i="1"/>
  <c r="H18" i="1"/>
  <c r="H16" i="1"/>
  <c r="H21" i="1"/>
  <c r="H27" i="1"/>
  <c r="H11" i="1"/>
  <c r="T11" i="1" s="1"/>
  <c r="H14" i="1"/>
  <c r="H28" i="1"/>
  <c r="H12" i="1"/>
  <c r="H17" i="1"/>
  <c r="I17" i="1" l="1"/>
  <c r="T17" i="1"/>
  <c r="I18" i="1"/>
  <c r="T18" i="1"/>
  <c r="I25" i="1"/>
  <c r="T25" i="1"/>
  <c r="I19" i="1"/>
  <c r="T19" i="1"/>
  <c r="I14" i="1"/>
  <c r="T14" i="1"/>
  <c r="I16" i="1"/>
  <c r="T16" i="1"/>
  <c r="I9" i="1"/>
  <c r="T9" i="1"/>
  <c r="I22" i="1"/>
  <c r="T22" i="1"/>
  <c r="I24" i="1"/>
  <c r="T24" i="1"/>
  <c r="I10" i="1"/>
  <c r="T10" i="1"/>
  <c r="I28" i="1"/>
  <c r="T28" i="1"/>
  <c r="I21" i="1"/>
  <c r="T21" i="1"/>
  <c r="I7" i="1"/>
  <c r="T7" i="1"/>
  <c r="I6" i="1"/>
  <c r="T6" i="1"/>
  <c r="I8" i="1"/>
  <c r="T8" i="1"/>
  <c r="I23" i="1"/>
  <c r="T23" i="1"/>
  <c r="I12" i="1"/>
  <c r="T12" i="1"/>
  <c r="I27" i="1"/>
  <c r="T27" i="1"/>
  <c r="I15" i="1"/>
  <c r="T15" i="1"/>
  <c r="I20" i="1"/>
  <c r="T20" i="1"/>
  <c r="I13" i="1"/>
  <c r="T13" i="1"/>
  <c r="I26" i="1"/>
  <c r="T26" i="1"/>
  <c r="I11" i="1"/>
  <c r="I30" i="1" s="1"/>
  <c r="J26" i="1" l="1"/>
  <c r="V26" i="1"/>
  <c r="J20" i="1"/>
  <c r="V20" i="1"/>
  <c r="J23" i="1"/>
  <c r="V23" i="1"/>
  <c r="J21" i="1"/>
  <c r="V21" i="1"/>
  <c r="J10" i="1"/>
  <c r="V10" i="1"/>
  <c r="J22" i="1"/>
  <c r="V22" i="1"/>
  <c r="J16" i="1"/>
  <c r="V16" i="1"/>
  <c r="J19" i="1"/>
  <c r="V19" i="1"/>
  <c r="J18" i="1"/>
  <c r="V18" i="1"/>
  <c r="J27" i="1"/>
  <c r="V27" i="1"/>
  <c r="J6" i="1"/>
  <c r="V6" i="1"/>
  <c r="J11" i="1"/>
  <c r="V11" i="1"/>
  <c r="J13" i="1"/>
  <c r="V13" i="1"/>
  <c r="J15" i="1"/>
  <c r="V15" i="1"/>
  <c r="J12" i="1"/>
  <c r="V12" i="1"/>
  <c r="J8" i="1"/>
  <c r="V8" i="1"/>
  <c r="J7" i="1"/>
  <c r="V7" i="1"/>
  <c r="J28" i="1"/>
  <c r="V28" i="1"/>
  <c r="J24" i="1"/>
  <c r="V24" i="1"/>
  <c r="J9" i="1"/>
  <c r="V9" i="1"/>
  <c r="J14" i="1"/>
  <c r="V14" i="1"/>
  <c r="J25" i="1"/>
  <c r="V25" i="1"/>
  <c r="J17" i="1"/>
  <c r="V17" i="1"/>
</calcChain>
</file>

<file path=xl/sharedStrings.xml><?xml version="1.0" encoding="utf-8"?>
<sst xmlns="http://schemas.openxmlformats.org/spreadsheetml/2006/main" count="356" uniqueCount="213">
  <si>
    <t>Year</t>
  </si>
  <si>
    <t>Net evap</t>
  </si>
  <si>
    <t>AF</t>
  </si>
  <si>
    <t>Courtland Canal</t>
  </si>
  <si>
    <t>WRC</t>
  </si>
  <si>
    <t>YEAR</t>
  </si>
  <si>
    <r>
      <t>Monthly mean streamflow, in ft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/s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</si>
  <si>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</si>
  <si>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</si>
  <si>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</si>
  <si>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</si>
  <si>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</si>
  <si>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</si>
  <si>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</si>
  <si>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</si>
  <si>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</si>
  <si>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</si>
  <si>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</si>
  <si>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</si>
  <si>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Mean of</t>
  </si>
  <si>
    <t>monthly</t>
  </si>
  <si>
    <t>streamflows</t>
  </si>
  <si>
    <t>WRC at Burr Oak</t>
  </si>
  <si>
    <t>WRC below lovewell</t>
  </si>
  <si>
    <t>Annual</t>
  </si>
  <si>
    <t>USGS</t>
  </si>
  <si>
    <t>(approx)</t>
  </si>
  <si>
    <t>% RR</t>
  </si>
  <si>
    <t xml:space="preserve">RR diversion to </t>
  </si>
  <si>
    <t>cell 270</t>
  </si>
  <si>
    <t>From NE's</t>
  </si>
  <si>
    <t>From CourtlandAvLove</t>
  </si>
  <si>
    <t>in Accounting spreadsheet</t>
  </si>
  <si>
    <t>Burr Oak</t>
  </si>
  <si>
    <t>Attachment 7</t>
  </si>
  <si>
    <t>Accounting</t>
  </si>
  <si>
    <t>Gage below</t>
  </si>
  <si>
    <t>Lovewell</t>
  </si>
  <si>
    <t>ReservoirNetEvapxx.xls</t>
  </si>
  <si>
    <t>jan</t>
  </si>
  <si>
    <t>sec/day</t>
  </si>
  <si>
    <t>feb</t>
  </si>
  <si>
    <t>sq.ft/acre</t>
  </si>
  <si>
    <t>mar</t>
  </si>
  <si>
    <t>afd/cfs</t>
  </si>
  <si>
    <t>apr</t>
  </si>
  <si>
    <t>may</t>
  </si>
  <si>
    <t>drainage</t>
  </si>
  <si>
    <t>gage</t>
  </si>
  <si>
    <t>jun</t>
  </si>
  <si>
    <t>area sqmi</t>
  </si>
  <si>
    <t>datum ft asl</t>
  </si>
  <si>
    <t>jul</t>
  </si>
  <si>
    <t>A2</t>
  </si>
  <si>
    <t>USGS 06854000 WHITE ROCK C AT LOVEWELL, KS</t>
  </si>
  <si>
    <t>aug</t>
  </si>
  <si>
    <t>A1</t>
  </si>
  <si>
    <t>USGS 06853800 WHITE ROCK C NR BURR OAK, KS</t>
  </si>
  <si>
    <t>sep</t>
  </si>
  <si>
    <t>ratio c=a2/a1</t>
  </si>
  <si>
    <t>oct</t>
  </si>
  <si>
    <t>nov</t>
  </si>
  <si>
    <t>dec</t>
  </si>
  <si>
    <t>agency_cd</t>
  </si>
  <si>
    <t>site_no</t>
  </si>
  <si>
    <t>parameter_cd</t>
  </si>
  <si>
    <t>ts_id</t>
  </si>
  <si>
    <t>year_nu</t>
  </si>
  <si>
    <t>mean_va</t>
  </si>
  <si>
    <t>#</t>
  </si>
  <si>
    <t>5s</t>
  </si>
  <si>
    <t>15s</t>
  </si>
  <si>
    <t>3n</t>
  </si>
  <si>
    <t>4s</t>
  </si>
  <si>
    <t>12n</t>
  </si>
  <si>
    <t>days</t>
  </si>
  <si>
    <t>flow AF</t>
  </si>
  <si>
    <t># US Geological Survey, Water Resources Data</t>
  </si>
  <si>
    <t># This file contains USGS Surface-Water Annual Statistics</t>
  </si>
  <si>
    <t># Note:The statistics generated from  this site are based on approved daily-mean data and may not match those published by the USGS in official publications.</t>
  </si>
  <si>
    <t># The user is responsible for assessment and use of statistics from this site.</t>
  </si>
  <si>
    <t># For more details on why the statistics may not match, visit https://waterdata.usgs.gov/ks/nwis/?dv_statistics_disclaimer.</t>
  </si>
  <si>
    <t># This file includes the following columns:</t>
  </si>
  <si>
    <t># agency_cd  agency code</t>
  </si>
  <si>
    <t># site_no    USGS site number</t>
  </si>
  <si>
    <t># parameter_cd</t>
  </si>
  <si>
    <t># ts_id</t>
  </si>
  <si>
    <t># mean_va    annual-mean value.</t>
  </si>
  <si>
    <t>#             if there is not complete record</t>
  </si>
  <si>
    <t>#             for a year this field is blank</t>
  </si>
  <si>
    <t># Sites in this file include:</t>
  </si>
  <si>
    <t># USGS 06853800 WHITE ROCK C NR BURR OAK, KS</t>
  </si>
  <si>
    <t xml:space="preserve"># </t>
  </si>
  <si>
    <t xml:space="preserve"># Explanation of Parameter Code and ts_id used in the Statistics Data </t>
  </si>
  <si>
    <t># parameter_cd  Parameter Name                                  ts_id   Location Name</t>
  </si>
  <si>
    <t xml:space="preserve"># 00060         Discharge, cubic feet per second                54716   </t>
  </si>
  <si>
    <t>TOTAL COURTLAND CANAL FLOW</t>
  </si>
  <si>
    <t xml:space="preserve">                INTO LOVEWELL RESERVOIR (MILE 34.8)</t>
  </si>
  <si>
    <t>Monthly Diversions (acre-feet)</t>
  </si>
  <si>
    <t>Total</t>
  </si>
  <si>
    <t>TOTAL</t>
  </si>
  <si>
    <t>AVG.</t>
  </si>
  <si>
    <t xml:space="preserve">from file </t>
  </si>
  <si>
    <t>KS-BOST3MWD.xlsx, sheet C-BELOW [removed blank rows]</t>
  </si>
  <si>
    <t>COURTLAND CANAL - KANSAS (Below)</t>
  </si>
  <si>
    <t>Monthly Diversions</t>
  </si>
  <si>
    <t>(acre-feet)</t>
  </si>
  <si>
    <t>Courtland Canal, Mile 38.0</t>
  </si>
  <si>
    <t xml:space="preserve">     Page #1</t>
  </si>
  <si>
    <t>USGS [3]</t>
  </si>
  <si>
    <t>RR/</t>
  </si>
  <si>
    <t>(RR+c*WRC)</t>
  </si>
  <si>
    <t>c=A2/A1</t>
  </si>
  <si>
    <t>Evap*RR/</t>
  </si>
  <si>
    <t>RR+c*WRC</t>
  </si>
  <si>
    <t>outflow af</t>
  </si>
  <si>
    <t>EvapRR</t>
  </si>
  <si>
    <t>charge to RR af</t>
  </si>
  <si>
    <t>LVKS</t>
  </si>
  <si>
    <t xml:space="preserve">      JAN</t>
  </si>
  <si>
    <t xml:space="preserve">      FEB</t>
  </si>
  <si>
    <t xml:space="preserve">      MAR</t>
  </si>
  <si>
    <t xml:space="preserve">      APR</t>
  </si>
  <si>
    <t xml:space="preserve">      MAY</t>
  </si>
  <si>
    <t xml:space="preserve">      JUN</t>
  </si>
  <si>
    <t xml:space="preserve">      JUL</t>
  </si>
  <si>
    <t xml:space="preserve">      AUG</t>
  </si>
  <si>
    <t xml:space="preserve">      SEP</t>
  </si>
  <si>
    <t xml:space="preserve">      OCT</t>
  </si>
  <si>
    <t xml:space="preserve">      NOV</t>
  </si>
  <si>
    <t xml:space="preserve">      DEC</t>
  </si>
  <si>
    <t xml:space="preserve">    TOTAL</t>
  </si>
  <si>
    <t>WRC div to</t>
  </si>
  <si>
    <t>lower dist.</t>
  </si>
  <si>
    <t>2000-2016:</t>
  </si>
  <si>
    <t xml:space="preserve">RR Inflow from </t>
  </si>
  <si>
    <t>BOR [2]</t>
  </si>
  <si>
    <t>BOR [4]</t>
  </si>
  <si>
    <t>BOR [5]</t>
  </si>
  <si>
    <t>max(f-e)</t>
  </si>
  <si>
    <t>Outflow to</t>
  </si>
  <si>
    <t>lower district</t>
  </si>
  <si>
    <t>WRC at</t>
  </si>
  <si>
    <t>White Rock C at Burr Oak</t>
  </si>
  <si>
    <t>RR</t>
  </si>
  <si>
    <t>Diversions to Lower District (avg 2000-2016)</t>
  </si>
  <si>
    <t>Inflows to Lovewell</t>
  </si>
  <si>
    <t>a. c=1</t>
  </si>
  <si>
    <t>[orig]</t>
  </si>
  <si>
    <t>WRC Spill</t>
  </si>
  <si>
    <t>days/mo:</t>
  </si>
  <si>
    <t>sqft/acre</t>
  </si>
  <si>
    <t>Annual AF</t>
  </si>
  <si>
    <t>https://waterdata.usgs.gov/ks/nwis/monthly?referred_module=sw&amp;amp;site_no=06853800&amp;amp;por_06853800_54716=92218,00060,54716,1957-10,2018-04&amp;amp;start_dt=2000-01&amp;amp;end_dt=2017-12&amp;amp;partial_periods=on&amp;amp;format=html_table&amp;amp;date_format=YYYY-MM-DD&amp;amp;rdb_compression=file&amp;amp;submitted_form=parameter_selection_list</t>
  </si>
  <si>
    <t>source:</t>
  </si>
  <si>
    <t>ratios</t>
  </si>
  <si>
    <t>units</t>
  </si>
  <si>
    <t>sum over</t>
  </si>
  <si>
    <t>compare:</t>
  </si>
  <si>
    <t>discrep af</t>
  </si>
  <si>
    <t># retrieved: 2018-06-04 12:55:56 EDT      (sdww02)</t>
  </si>
  <si>
    <t># ** Incomplete data have been used for statistical calculation</t>
  </si>
  <si>
    <t># year_nu    Calendar year for value</t>
  </si>
  <si>
    <t>https://waterdata.usgs.gov/ks/nwis/annual/?referred_module=sw&amp;amp;site_no=06853800&amp;amp;por_06853800_54716=92218,00060,54716,1958,2018&amp;amp;partial_periods=on&amp;amp;year_type=C&amp;amp;format=rdb&amp;amp;date_format=MM/DD/YYYY&amp;amp;rdb_compression=value&amp;amp;submitted_form=parameter_selection_list</t>
  </si>
  <si>
    <t>[make sure calendar year is specified, not water year]</t>
  </si>
  <si>
    <t>year</t>
  </si>
  <si>
    <t>Lovewell ops</t>
  </si>
  <si>
    <t>Net Evap E - P</t>
  </si>
  <si>
    <t>rr/(rr+wrc)</t>
  </si>
  <si>
    <t>from Lovewell_Ops_2004-2016_review.xls</t>
  </si>
  <si>
    <t>in  c:\rrca\ec\Lovewell\Ops_review</t>
  </si>
  <si>
    <t>RR diversion</t>
  </si>
  <si>
    <t>to lower cc</t>
  </si>
  <si>
    <t>proposed</t>
  </si>
  <si>
    <t xml:space="preserve"> - original</t>
  </si>
  <si>
    <t>inflow from</t>
  </si>
  <si>
    <t>Courtland</t>
  </si>
  <si>
    <t>discrep</t>
  </si>
  <si>
    <t>[1]</t>
  </si>
  <si>
    <t>[2]</t>
  </si>
  <si>
    <t>[3]</t>
  </si>
  <si>
    <t>[1]:</t>
  </si>
  <si>
    <t>[2]:</t>
  </si>
  <si>
    <t>[3]:</t>
  </si>
  <si>
    <t>row 270</t>
  </si>
  <si>
    <t>row 269</t>
  </si>
  <si>
    <t>Courtland Canal Deliveries To Lovewell Reservoir</t>
  </si>
  <si>
    <t>Diversions of Republican River water from Lovewell Reservoir to the Courtland Canal below Lovewell</t>
  </si>
  <si>
    <t>Lovewell net Evaporation *RR inflow / (RR inflow + WRC inflow)</t>
  </si>
  <si>
    <t>Min (RR - EvapRR, Out)</t>
  </si>
  <si>
    <t>Lower Bostwick</t>
  </si>
  <si>
    <t>LVKS Outflow to Courtland</t>
  </si>
  <si>
    <t>RR Inflow to LVKS</t>
  </si>
  <si>
    <t>RR diversion to lower Bostwick</t>
  </si>
  <si>
    <t>RR Evap charge (inflow split)</t>
  </si>
  <si>
    <t>Inflow to Lovewell</t>
  </si>
  <si>
    <t>vol. afy</t>
  </si>
  <si>
    <t>mi</t>
  </si>
  <si>
    <t>hr</t>
  </si>
  <si>
    <t>mi/hr</t>
  </si>
  <si>
    <t>min</t>
  </si>
  <si>
    <t>min/hr</t>
  </si>
  <si>
    <t>Assume all spills are from White Rock Creek water.</t>
  </si>
  <si>
    <t>Then RR diversions to lower district are the minimum of:</t>
  </si>
  <si>
    <t>1) RR inflow to Lovewell minus RR evap charge;</t>
  </si>
  <si>
    <t>2) outflow to the lower district</t>
  </si>
  <si>
    <t>Diversion to Courtland below Lovewell</t>
  </si>
  <si>
    <t>[1-3] Data from this sheet are entered on the following lines of sheet Input, RRCA Compliance Accounting:</t>
  </si>
  <si>
    <t>EC</t>
  </si>
  <si>
    <t>228 [1]</t>
  </si>
  <si>
    <t>270 [2]</t>
  </si>
  <si>
    <t>269 [3]</t>
  </si>
  <si>
    <t>row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</si>
</sst>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80"/>
      <name val="Verdana"/>
      <family val="2"/>
    </font>
    <font>
      <sz val="10"/>
      <color rgb="FF000000"/>
      <name val="Arial Unicode MS"/>
    </font>
    <font>
      <sz val="12"/>
      <name val="Arial"/>
      <family val="2"/>
    </font>
    <font>
      <sz val="10"/>
      <name val="SWISS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8" fontId="0" fillId="0" borderId="0" xfId="0" applyNumberFormat="1"/>
    <xf numFmtId="0" fontId="0" fillId="0" borderId="0" xfId="0" quotePrefix="1"/>
    <xf numFmtId="164" fontId="0" fillId="0" borderId="0" xfId="0" applyNumberFormat="1"/>
    <xf numFmtId="3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5" fontId="0" fillId="0" borderId="0" xfId="0" applyNumberFormat="1"/>
    <xf numFmtId="0" fontId="8" fillId="0" borderId="0" xfId="0" applyFont="1" applyAlignment="1">
      <alignment vertical="center"/>
    </xf>
    <xf numFmtId="1" fontId="0" fillId="0" borderId="0" xfId="0" applyNumberFormat="1"/>
    <xf numFmtId="0" fontId="5" fillId="0" borderId="0" xfId="1" applyNumberFormat="1" applyFont="1"/>
    <xf numFmtId="0" fontId="5" fillId="0" borderId="0" xfId="1" applyFont="1"/>
    <xf numFmtId="0" fontId="10" fillId="0" borderId="0" xfId="1" applyNumberFormat="1" applyFont="1"/>
    <xf numFmtId="0" fontId="5" fillId="0" borderId="0" xfId="1" applyNumberFormat="1" applyFont="1" applyAlignment="1"/>
    <xf numFmtId="0" fontId="10" fillId="0" borderId="0" xfId="1" applyNumberFormat="1" applyFont="1" applyAlignment="1">
      <alignment horizontal="right"/>
    </xf>
    <xf numFmtId="0" fontId="5" fillId="0" borderId="0" xfId="1" applyNumberFormat="1" applyFont="1" applyAlignment="1">
      <alignment horizontal="right"/>
    </xf>
    <xf numFmtId="0" fontId="5" fillId="0" borderId="0" xfId="1" applyNumberFormat="1" applyFont="1" applyAlignment="1">
      <alignment horizontal="center"/>
    </xf>
    <xf numFmtId="0" fontId="5" fillId="0" borderId="8" xfId="1" applyNumberFormat="1" applyFont="1" applyBorder="1" applyAlignment="1">
      <alignment horizontal="right"/>
    </xf>
    <xf numFmtId="0" fontId="5" fillId="0" borderId="9" xfId="1" applyNumberFormat="1" applyFont="1" applyBorder="1" applyAlignment="1">
      <alignment horizontal="right"/>
    </xf>
    <xf numFmtId="0" fontId="5" fillId="0" borderId="7" xfId="1" applyNumberFormat="1" applyFont="1" applyBorder="1" applyAlignment="1">
      <alignment horizontal="right"/>
    </xf>
    <xf numFmtId="0" fontId="5" fillId="0" borderId="9" xfId="1" applyNumberFormat="1" applyFont="1" applyBorder="1"/>
    <xf numFmtId="3" fontId="5" fillId="0" borderId="9" xfId="1" applyNumberFormat="1" applyFont="1" applyBorder="1"/>
    <xf numFmtId="3" fontId="5" fillId="0" borderId="0" xfId="1" applyNumberFormat="1" applyFont="1"/>
    <xf numFmtId="1" fontId="5" fillId="0" borderId="0" xfId="1" applyNumberFormat="1" applyFont="1"/>
    <xf numFmtId="3" fontId="5" fillId="0" borderId="0" xfId="1" applyNumberFormat="1" applyFont="1" applyBorder="1"/>
    <xf numFmtId="3" fontId="10" fillId="0" borderId="0" xfId="1" applyNumberFormat="1" applyFont="1" applyBorder="1" applyAlignment="1"/>
    <xf numFmtId="3" fontId="10" fillId="0" borderId="0" xfId="1" applyNumberFormat="1" applyFont="1" applyAlignment="1"/>
    <xf numFmtId="0" fontId="5" fillId="0" borderId="9" xfId="1" applyNumberFormat="1" applyFont="1" applyBorder="1" applyAlignment="1"/>
    <xf numFmtId="3" fontId="5" fillId="0" borderId="9" xfId="1" applyNumberFormat="1" applyFont="1" applyBorder="1" applyAlignment="1"/>
    <xf numFmtId="0" fontId="10" fillId="0" borderId="0" xfId="2" applyNumberFormat="1" applyFont="1"/>
    <xf numFmtId="0" fontId="10" fillId="0" borderId="0" xfId="2" applyNumberFormat="1" applyFont="1" applyAlignment="1"/>
    <xf numFmtId="0" fontId="10" fillId="0" borderId="8" xfId="2" applyNumberFormat="1" applyFont="1" applyBorder="1" applyAlignment="1">
      <alignment horizontal="right"/>
    </xf>
    <xf numFmtId="0" fontId="10" fillId="0" borderId="9" xfId="2" applyNumberFormat="1" applyFont="1" applyBorder="1" applyAlignment="1">
      <alignment horizontal="right"/>
    </xf>
    <xf numFmtId="0" fontId="10" fillId="0" borderId="9" xfId="2" applyNumberFormat="1" applyFont="1" applyBorder="1"/>
    <xf numFmtId="3" fontId="10" fillId="0" borderId="9" xfId="2" applyNumberFormat="1" applyFont="1" applyBorder="1"/>
    <xf numFmtId="3" fontId="10" fillId="0" borderId="0" xfId="2" applyNumberFormat="1" applyFont="1"/>
    <xf numFmtId="1" fontId="10" fillId="0" borderId="0" xfId="2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5" fillId="0" borderId="10" xfId="2" applyNumberFormat="1" applyFont="1" applyBorder="1" applyAlignment="1">
      <alignment horizontal="right"/>
    </xf>
    <xf numFmtId="0" fontId="5" fillId="0" borderId="0" xfId="2" applyNumberFormat="1" applyFont="1" applyBorder="1"/>
    <xf numFmtId="3" fontId="5" fillId="0" borderId="0" xfId="2" applyNumberFormat="1" applyFont="1" applyBorder="1"/>
    <xf numFmtId="0" fontId="5" fillId="0" borderId="0" xfId="2" applyNumberFormat="1" applyFont="1"/>
    <xf numFmtId="3" fontId="5" fillId="0" borderId="0" xfId="2" applyNumberFormat="1" applyFont="1"/>
    <xf numFmtId="3" fontId="5" fillId="0" borderId="0" xfId="2" applyNumberFormat="1" applyFont="1" applyAlignment="1"/>
    <xf numFmtId="0" fontId="5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3" fontId="5" fillId="0" borderId="0" xfId="2" applyNumberFormat="1" applyFont="1" applyBorder="1" applyAlignment="1"/>
    <xf numFmtId="0" fontId="5" fillId="0" borderId="0" xfId="2" applyNumberFormat="1" applyFont="1" applyAlignment="1"/>
    <xf numFmtId="10" fontId="0" fillId="0" borderId="0" xfId="0" applyNumberFormat="1"/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38" fontId="0" fillId="0" borderId="0" xfId="0" applyNumberFormat="1" applyAlignment="1">
      <alignment wrapText="1"/>
    </xf>
    <xf numFmtId="0" fontId="5" fillId="0" borderId="0" xfId="0" applyFont="1" applyAlignment="1"/>
    <xf numFmtId="0" fontId="5" fillId="0" borderId="11" xfId="0" applyFont="1" applyBorder="1" applyAlignment="1">
      <alignment horizontal="center"/>
    </xf>
    <xf numFmtId="3" fontId="0" fillId="0" borderId="11" xfId="0" applyNumberFormat="1" applyBorder="1"/>
    <xf numFmtId="10" fontId="0" fillId="0" borderId="11" xfId="0" applyNumberFormat="1" applyBorder="1"/>
    <xf numFmtId="0" fontId="2" fillId="0" borderId="0" xfId="0" applyFont="1"/>
    <xf numFmtId="0" fontId="11" fillId="0" borderId="0" xfId="3"/>
    <xf numFmtId="0" fontId="5" fillId="0" borderId="11" xfId="0" applyFont="1" applyBorder="1"/>
    <xf numFmtId="0" fontId="0" fillId="0" borderId="11" xfId="0" applyBorder="1"/>
    <xf numFmtId="38" fontId="0" fillId="0" borderId="11" xfId="0" applyNumberFormat="1" applyBorder="1"/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/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8" fontId="0" fillId="0" borderId="0" xfId="0" applyNumberFormat="1" applyBorder="1"/>
    <xf numFmtId="3" fontId="0" fillId="0" borderId="0" xfId="0" applyNumberFormat="1" applyBorder="1"/>
    <xf numFmtId="10" fontId="0" fillId="0" borderId="0" xfId="0" applyNumberFormat="1" applyBorder="1"/>
    <xf numFmtId="0" fontId="0" fillId="0" borderId="0" xfId="0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/>
    <xf numFmtId="0" fontId="0" fillId="0" borderId="11" xfId="0" applyFill="1" applyBorder="1"/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10" fillId="0" borderId="0" xfId="2" applyNumberFormat="1" applyFont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RR_CBCU!$I$38</c:f>
          <c:strCache>
            <c:ptCount val="1"/>
            <c:pt idx="0">
              <c:v>Republican River CBCU for Lovewell net evaporation and diversion to Courtland Canal below Lovewell</c:v>
            </c:pt>
          </c:strCache>
        </c:strRef>
      </c:tx>
      <c:layout>
        <c:manualLayout>
          <c:xMode val="edge"/>
          <c:yMode val="edge"/>
          <c:x val="0.17412000581765935"/>
          <c:y val="2.7357027663239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48385506224585"/>
          <c:y val="0.1515066275599492"/>
          <c:w val="0.75362735441105289"/>
          <c:h val="0.62209029346210309"/>
        </c:manualLayout>
      </c:layout>
      <c:scatterChart>
        <c:scatterStyle val="lineMarker"/>
        <c:varyColors val="0"/>
        <c:ser>
          <c:idx val="0"/>
          <c:order val="0"/>
          <c:tx>
            <c:strRef>
              <c:f>RR_CBCU!$I$65</c:f>
              <c:strCache>
                <c:ptCount val="1"/>
                <c:pt idx="0">
                  <c:v>RR Inflow to LVKS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RR_CBCU!$C$6:$C$28</c:f>
              <c:numCache>
                <c:formatCode>#,##0_);[Red]\(#,##0\)</c:formatCode>
                <c:ptCount val="23"/>
                <c:pt idx="0">
                  <c:v>31839</c:v>
                </c:pt>
                <c:pt idx="1">
                  <c:v>38849</c:v>
                </c:pt>
                <c:pt idx="2">
                  <c:v>29802</c:v>
                </c:pt>
                <c:pt idx="3">
                  <c:v>28570</c:v>
                </c:pt>
                <c:pt idx="4">
                  <c:v>20851</c:v>
                </c:pt>
                <c:pt idx="5">
                  <c:v>73479</c:v>
                </c:pt>
                <c:pt idx="6">
                  <c:v>30909</c:v>
                </c:pt>
                <c:pt idx="7">
                  <c:v>44153</c:v>
                </c:pt>
                <c:pt idx="8">
                  <c:v>26596</c:v>
                </c:pt>
                <c:pt idx="9">
                  <c:v>14130</c:v>
                </c:pt>
                <c:pt idx="10">
                  <c:v>29265</c:v>
                </c:pt>
                <c:pt idx="11">
                  <c:v>19093.170999999998</c:v>
                </c:pt>
                <c:pt idx="12">
                  <c:v>34687.646349999995</c:v>
                </c:pt>
                <c:pt idx="13">
                  <c:v>7657</c:v>
                </c:pt>
                <c:pt idx="14">
                  <c:v>17608</c:v>
                </c:pt>
                <c:pt idx="15">
                  <c:v>18030</c:v>
                </c:pt>
                <c:pt idx="16">
                  <c:v>10316</c:v>
                </c:pt>
                <c:pt idx="17">
                  <c:v>37353</c:v>
                </c:pt>
                <c:pt idx="18">
                  <c:v>38432</c:v>
                </c:pt>
                <c:pt idx="19">
                  <c:v>36450</c:v>
                </c:pt>
                <c:pt idx="20">
                  <c:v>30533</c:v>
                </c:pt>
                <c:pt idx="21">
                  <c:v>15798</c:v>
                </c:pt>
                <c:pt idx="22">
                  <c:v>28120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67-4308-A2F3-28B7675C2AEB}"/>
            </c:ext>
          </c:extLst>
        </c:ser>
        <c:ser>
          <c:idx val="1"/>
          <c:order val="1"/>
          <c:tx>
            <c:strRef>
              <c:f>RR_CBCU!$I$67</c:f>
              <c:strCache>
                <c:ptCount val="1"/>
                <c:pt idx="0">
                  <c:v>LVKS Outflow to Courtland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RR_CBCU!$E$6:$E$28</c:f>
              <c:numCache>
                <c:formatCode>#,##0_);[Red]\(#,##0\)</c:formatCode>
                <c:ptCount val="23"/>
                <c:pt idx="0">
                  <c:v>46493</c:v>
                </c:pt>
                <c:pt idx="1">
                  <c:v>46946</c:v>
                </c:pt>
                <c:pt idx="2">
                  <c:v>48831</c:v>
                </c:pt>
                <c:pt idx="3">
                  <c:v>49058</c:v>
                </c:pt>
                <c:pt idx="4">
                  <c:v>49570</c:v>
                </c:pt>
                <c:pt idx="5">
                  <c:v>62745</c:v>
                </c:pt>
                <c:pt idx="6">
                  <c:v>47244</c:v>
                </c:pt>
                <c:pt idx="7">
                  <c:v>46557</c:v>
                </c:pt>
                <c:pt idx="8">
                  <c:v>35606</c:v>
                </c:pt>
                <c:pt idx="9">
                  <c:v>30134</c:v>
                </c:pt>
                <c:pt idx="10">
                  <c:v>25916</c:v>
                </c:pt>
                <c:pt idx="11">
                  <c:v>27851</c:v>
                </c:pt>
                <c:pt idx="12">
                  <c:v>35101</c:v>
                </c:pt>
                <c:pt idx="13">
                  <c:v>30016</c:v>
                </c:pt>
                <c:pt idx="14">
                  <c:v>35631</c:v>
                </c:pt>
                <c:pt idx="15">
                  <c:v>38043</c:v>
                </c:pt>
                <c:pt idx="16">
                  <c:v>36183</c:v>
                </c:pt>
                <c:pt idx="17">
                  <c:v>50078</c:v>
                </c:pt>
                <c:pt idx="18">
                  <c:v>40139</c:v>
                </c:pt>
                <c:pt idx="19">
                  <c:v>32108</c:v>
                </c:pt>
                <c:pt idx="20">
                  <c:v>31544</c:v>
                </c:pt>
                <c:pt idx="21">
                  <c:v>28871</c:v>
                </c:pt>
                <c:pt idx="22">
                  <c:v>38000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67-4308-A2F3-28B7675C2AEB}"/>
            </c:ext>
          </c:extLst>
        </c:ser>
        <c:ser>
          <c:idx val="2"/>
          <c:order val="2"/>
          <c:tx>
            <c:strRef>
              <c:f>RR_CBCU!$I$68</c:f>
              <c:strCache>
                <c:ptCount val="1"/>
                <c:pt idx="0">
                  <c:v>RR Evap charge (inflow split)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RR_CBCU!$H$6:$H$28</c:f>
              <c:numCache>
                <c:formatCode>#,##0_);[Red]\(#,##0\)</c:formatCode>
                <c:ptCount val="23"/>
                <c:pt idx="0">
                  <c:v>1018.8153605313283</c:v>
                </c:pt>
                <c:pt idx="1">
                  <c:v>581.31297193973796</c:v>
                </c:pt>
                <c:pt idx="2">
                  <c:v>1189.1152026482694</c:v>
                </c:pt>
                <c:pt idx="3">
                  <c:v>122.29438598535488</c:v>
                </c:pt>
                <c:pt idx="4">
                  <c:v>1116.2840801534628</c:v>
                </c:pt>
                <c:pt idx="5">
                  <c:v>3881.4798010080312</c:v>
                </c:pt>
                <c:pt idx="6">
                  <c:v>-125.7965348934911</c:v>
                </c:pt>
                <c:pt idx="7">
                  <c:v>2473.1841026640541</c:v>
                </c:pt>
                <c:pt idx="8">
                  <c:v>805.27648541589758</c:v>
                </c:pt>
                <c:pt idx="9">
                  <c:v>822.7393800365171</c:v>
                </c:pt>
                <c:pt idx="10">
                  <c:v>2724.6579464162464</c:v>
                </c:pt>
                <c:pt idx="11">
                  <c:v>3342.8618818559626</c:v>
                </c:pt>
                <c:pt idx="12">
                  <c:v>722.65271634752708</c:v>
                </c:pt>
                <c:pt idx="13">
                  <c:v>36.531004259166686</c:v>
                </c:pt>
                <c:pt idx="14">
                  <c:v>1860.6685730846366</c:v>
                </c:pt>
                <c:pt idx="15">
                  <c:v>896.43285724647046</c:v>
                </c:pt>
                <c:pt idx="16">
                  <c:v>327.07108362528771</c:v>
                </c:pt>
                <c:pt idx="17">
                  <c:v>3898.7927750296731</c:v>
                </c:pt>
                <c:pt idx="18">
                  <c:v>1683.7962371969124</c:v>
                </c:pt>
                <c:pt idx="19">
                  <c:v>2291.4080956064558</c:v>
                </c:pt>
                <c:pt idx="20">
                  <c:v>201.52673757108087</c:v>
                </c:pt>
                <c:pt idx="21">
                  <c:v>927.20519920044592</c:v>
                </c:pt>
                <c:pt idx="22">
                  <c:v>2594.744870435848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67-4308-A2F3-28B7675C2AEB}"/>
            </c:ext>
          </c:extLst>
        </c:ser>
        <c:ser>
          <c:idx val="3"/>
          <c:order val="3"/>
          <c:tx>
            <c:strRef>
              <c:f>RR_CBCU!$I$69</c:f>
              <c:strCache>
                <c:ptCount val="1"/>
                <c:pt idx="0">
                  <c:v>RR diversion to lower Bostwick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RR_CBCU!$I$6:$I$28</c:f>
              <c:numCache>
                <c:formatCode>#,##0_);[Red]\(#,##0\)</c:formatCode>
                <c:ptCount val="23"/>
                <c:pt idx="0">
                  <c:v>30820.184639468673</c:v>
                </c:pt>
                <c:pt idx="1">
                  <c:v>38267.68702806026</c:v>
                </c:pt>
                <c:pt idx="2">
                  <c:v>28612.88479735173</c:v>
                </c:pt>
                <c:pt idx="3">
                  <c:v>28447.705614014645</c:v>
                </c:pt>
                <c:pt idx="4">
                  <c:v>19734.715919846538</c:v>
                </c:pt>
                <c:pt idx="5">
                  <c:v>62745</c:v>
                </c:pt>
                <c:pt idx="6">
                  <c:v>31034.796534893492</c:v>
                </c:pt>
                <c:pt idx="7">
                  <c:v>41679.815897335946</c:v>
                </c:pt>
                <c:pt idx="8">
                  <c:v>25790.723514584104</c:v>
                </c:pt>
                <c:pt idx="9">
                  <c:v>13307.260619963483</c:v>
                </c:pt>
                <c:pt idx="10">
                  <c:v>25916</c:v>
                </c:pt>
                <c:pt idx="11">
                  <c:v>15750.309118144036</c:v>
                </c:pt>
                <c:pt idx="12">
                  <c:v>33964.99363365247</c:v>
                </c:pt>
                <c:pt idx="13">
                  <c:v>7620.4689957408336</c:v>
                </c:pt>
                <c:pt idx="14">
                  <c:v>15747.331426915363</c:v>
                </c:pt>
                <c:pt idx="15">
                  <c:v>17133.567142753531</c:v>
                </c:pt>
                <c:pt idx="16">
                  <c:v>9988.9289163747126</c:v>
                </c:pt>
                <c:pt idx="17">
                  <c:v>33454.207224970327</c:v>
                </c:pt>
                <c:pt idx="18">
                  <c:v>36748.203762803088</c:v>
                </c:pt>
                <c:pt idx="19">
                  <c:v>32108</c:v>
                </c:pt>
                <c:pt idx="20">
                  <c:v>30331.473262428921</c:v>
                </c:pt>
                <c:pt idx="21">
                  <c:v>14870.794800799555</c:v>
                </c:pt>
                <c:pt idx="22">
                  <c:v>25525.255129564153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67-4308-A2F3-28B7675C2AEB}"/>
            </c:ext>
          </c:extLst>
        </c:ser>
        <c:ser>
          <c:idx val="5"/>
          <c:order val="4"/>
          <c:tx>
            <c:strRef>
              <c:f>RR_CBCU!$I$66</c:f>
              <c:strCache>
                <c:ptCount val="1"/>
                <c:pt idx="0">
                  <c:v>White Rock C at Burr Oak</c:v>
                </c:pt>
              </c:strCache>
            </c:strRef>
          </c:tx>
          <c:spPr>
            <a:ln w="127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RR_CBCU!$D$6:$D$28</c:f>
              <c:numCache>
                <c:formatCode>#,##0_);[Red]\(#,##0\)</c:formatCode>
                <c:ptCount val="23"/>
                <c:pt idx="0">
                  <c:v>19691.900826446283</c:v>
                </c:pt>
                <c:pt idx="1">
                  <c:v>18076.165289256198</c:v>
                </c:pt>
                <c:pt idx="2">
                  <c:v>23239.338842975209</c:v>
                </c:pt>
                <c:pt idx="3">
                  <c:v>33809.25619834711</c:v>
                </c:pt>
                <c:pt idx="4">
                  <c:v>15492.89256198347</c:v>
                </c:pt>
                <c:pt idx="5">
                  <c:v>4595.2661157024795</c:v>
                </c:pt>
                <c:pt idx="6">
                  <c:v>23022.14876033058</c:v>
                </c:pt>
                <c:pt idx="7">
                  <c:v>4778.181818181818</c:v>
                </c:pt>
                <c:pt idx="8">
                  <c:v>1715.8016528925621</c:v>
                </c:pt>
                <c:pt idx="9">
                  <c:v>2039.9206611570248</c:v>
                </c:pt>
                <c:pt idx="10">
                  <c:v>3663.272727272727</c:v>
                </c:pt>
                <c:pt idx="11">
                  <c:v>1817.1570247933885</c:v>
                </c:pt>
                <c:pt idx="12">
                  <c:v>7529.2561983471078</c:v>
                </c:pt>
                <c:pt idx="13">
                  <c:v>41233.983471074382</c:v>
                </c:pt>
                <c:pt idx="14">
                  <c:v>10859.504132231405</c:v>
                </c:pt>
                <c:pt idx="15">
                  <c:v>28958.677685950413</c:v>
                </c:pt>
                <c:pt idx="16">
                  <c:v>55890.247933884297</c:v>
                </c:pt>
                <c:pt idx="17">
                  <c:v>6700.5223140495873</c:v>
                </c:pt>
                <c:pt idx="18">
                  <c:v>2222.5785123966944</c:v>
                </c:pt>
                <c:pt idx="19">
                  <c:v>5813.454545454545</c:v>
                </c:pt>
                <c:pt idx="20">
                  <c:v>15130.90909090909</c:v>
                </c:pt>
                <c:pt idx="21">
                  <c:v>10308.495867768595</c:v>
                </c:pt>
                <c:pt idx="22">
                  <c:v>18533.553719008265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67-4308-A2F3-28B7675C2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538160"/>
        <c:axId val="1625792240"/>
      </c:scatterChart>
      <c:valAx>
        <c:axId val="1542538160"/>
        <c:scaling>
          <c:orientation val="minMax"/>
          <c:min val="19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792240"/>
        <c:crossesAt val="0"/>
        <c:crossBetween val="midCat"/>
      </c:valAx>
      <c:valAx>
        <c:axId val="1625792240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of water (acre-feet/year)</a:t>
                </a:r>
              </a:p>
            </c:rich>
          </c:tx>
          <c:layout>
            <c:manualLayout>
              <c:xMode val="edge"/>
              <c:yMode val="edge"/>
              <c:x val="1.9480247147276156E-2"/>
              <c:y val="0.201169914056599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538160"/>
        <c:crossesAt val="1995"/>
        <c:crossBetween val="midCat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427931963219604"/>
          <c:w val="0.99712162519632164"/>
          <c:h val="0.16572068036780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RR_CBCU!$P$40</c:f>
          <c:strCache>
            <c:ptCount val="1"/>
            <c:pt idx="0">
              <c:v>Net evaporation charged to Republican River by original methods and by simplified annual inflow split</c:v>
            </c:pt>
          </c:strCache>
        </c:strRef>
      </c:tx>
      <c:layout>
        <c:manualLayout>
          <c:xMode val="edge"/>
          <c:yMode val="edge"/>
          <c:x val="0.1500847516837315"/>
          <c:y val="3.45710662255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simplified annual calculation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RR_CBCU!$H$6:$H$28</c:f>
              <c:numCache>
                <c:formatCode>#,##0_);[Red]\(#,##0\)</c:formatCode>
                <c:ptCount val="23"/>
                <c:pt idx="0">
                  <c:v>1018.8153605313283</c:v>
                </c:pt>
                <c:pt idx="1">
                  <c:v>581.31297193973796</c:v>
                </c:pt>
                <c:pt idx="2">
                  <c:v>1189.1152026482694</c:v>
                </c:pt>
                <c:pt idx="3">
                  <c:v>122.29438598535488</c:v>
                </c:pt>
                <c:pt idx="4">
                  <c:v>1116.2840801534628</c:v>
                </c:pt>
                <c:pt idx="5">
                  <c:v>3881.4798010080312</c:v>
                </c:pt>
                <c:pt idx="6">
                  <c:v>-125.7965348934911</c:v>
                </c:pt>
                <c:pt idx="7">
                  <c:v>2473.1841026640541</c:v>
                </c:pt>
                <c:pt idx="8">
                  <c:v>805.27648541589758</c:v>
                </c:pt>
                <c:pt idx="9">
                  <c:v>822.7393800365171</c:v>
                </c:pt>
                <c:pt idx="10">
                  <c:v>2724.6579464162464</c:v>
                </c:pt>
                <c:pt idx="11">
                  <c:v>3342.8618818559626</c:v>
                </c:pt>
                <c:pt idx="12">
                  <c:v>722.65271634752708</c:v>
                </c:pt>
                <c:pt idx="13">
                  <c:v>36.531004259166686</c:v>
                </c:pt>
                <c:pt idx="14">
                  <c:v>1860.6685730846366</c:v>
                </c:pt>
                <c:pt idx="15">
                  <c:v>896.43285724647046</c:v>
                </c:pt>
                <c:pt idx="16">
                  <c:v>327.07108362528771</c:v>
                </c:pt>
                <c:pt idx="17">
                  <c:v>3898.7927750296731</c:v>
                </c:pt>
                <c:pt idx="18">
                  <c:v>1683.7962371969124</c:v>
                </c:pt>
                <c:pt idx="19">
                  <c:v>2291.4080956064558</c:v>
                </c:pt>
                <c:pt idx="20">
                  <c:v>201.52673757108087</c:v>
                </c:pt>
                <c:pt idx="21">
                  <c:v>927.20519920044592</c:v>
                </c:pt>
                <c:pt idx="22">
                  <c:v>2594.744870435848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FF-43B9-B779-29E5ED620D59}"/>
            </c:ext>
          </c:extLst>
        </c:ser>
        <c:ser>
          <c:idx val="1"/>
          <c:order val="1"/>
          <c:tx>
            <c:v>original methods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RR_CBCU!$S$6:$S$28</c:f>
              <c:numCache>
                <c:formatCode>#,##0_);[Red]\(#,##0\)</c:formatCode>
                <c:ptCount val="23"/>
                <c:pt idx="0">
                  <c:v>1018.7369363154431</c:v>
                </c:pt>
                <c:pt idx="1">
                  <c:v>581.36148663933557</c:v>
                </c:pt>
                <c:pt idx="2">
                  <c:v>1188.3135633835846</c:v>
                </c:pt>
                <c:pt idx="3">
                  <c:v>122.31208163183913</c:v>
                </c:pt>
                <c:pt idx="4">
                  <c:v>1116.5518935042269</c:v>
                </c:pt>
                <c:pt idx="5">
                  <c:v>3882.1973120071225</c:v>
                </c:pt>
                <c:pt idx="6">
                  <c:v>-125.78717844338362</c:v>
                </c:pt>
                <c:pt idx="7">
                  <c:v>2472.6198080501413</c:v>
                </c:pt>
                <c:pt idx="8">
                  <c:v>670</c:v>
                </c:pt>
                <c:pt idx="9">
                  <c:v>1110</c:v>
                </c:pt>
                <c:pt idx="10">
                  <c:v>2020</c:v>
                </c:pt>
                <c:pt idx="11">
                  <c:v>1770</c:v>
                </c:pt>
                <c:pt idx="12">
                  <c:v>130</c:v>
                </c:pt>
                <c:pt idx="13">
                  <c:v>10</c:v>
                </c:pt>
                <c:pt idx="14">
                  <c:v>130</c:v>
                </c:pt>
                <c:pt idx="15">
                  <c:v>330</c:v>
                </c:pt>
                <c:pt idx="16">
                  <c:v>-160</c:v>
                </c:pt>
                <c:pt idx="17">
                  <c:v>760</c:v>
                </c:pt>
                <c:pt idx="18">
                  <c:v>800</c:v>
                </c:pt>
                <c:pt idx="19">
                  <c:v>1380</c:v>
                </c:pt>
                <c:pt idx="20">
                  <c:v>300</c:v>
                </c:pt>
                <c:pt idx="21">
                  <c:v>-40</c:v>
                </c:pt>
                <c:pt idx="22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FF-43B9-B779-29E5ED620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04271"/>
        <c:axId val="1406397103"/>
      </c:scatterChart>
      <c:valAx>
        <c:axId val="1077704271"/>
        <c:scaling>
          <c:orientation val="minMax"/>
          <c:min val="19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397103"/>
        <c:crossesAt val="-500"/>
        <c:crossBetween val="midCat"/>
      </c:valAx>
      <c:valAx>
        <c:axId val="140639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Volume of water (acre-feet/year) </a:t>
                </a:r>
              </a:p>
            </c:rich>
          </c:tx>
          <c:layout>
            <c:manualLayout>
              <c:xMode val="edge"/>
              <c:yMode val="edge"/>
              <c:x val="1.9884011239163359E-2"/>
              <c:y val="0.21071049741503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704271"/>
        <c:crossesAt val="1995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99619972706454"/>
          <c:y val="0.9121314196549366"/>
          <c:w val="0.80494215533679225"/>
          <c:h val="6.482120286138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RR_CBCU!$P$65</c:f>
          <c:strCache>
            <c:ptCount val="1"/>
            <c:pt idx="0">
              <c:v>Republican River diversion to lower Bostwick district by original methods and simplified annual inflow split (A2/A1 = 1)</c:v>
            </c:pt>
          </c:strCache>
        </c:strRef>
      </c:tx>
      <c:layout>
        <c:manualLayout>
          <c:xMode val="edge"/>
          <c:yMode val="edge"/>
          <c:x val="0.1500847516837315"/>
          <c:y val="3.45710662255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92027196473798"/>
          <c:y val="0.1629065465138119"/>
          <c:w val="0.79307143976876615"/>
          <c:h val="0.56696427626244139"/>
        </c:manualLayout>
      </c:layout>
      <c:scatterChart>
        <c:scatterStyle val="lineMarker"/>
        <c:varyColors val="0"/>
        <c:ser>
          <c:idx val="0"/>
          <c:order val="0"/>
          <c:tx>
            <c:v>simplified annual calculation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RR_CBCU!$I$6:$I$28</c:f>
              <c:numCache>
                <c:formatCode>#,##0_);[Red]\(#,##0\)</c:formatCode>
                <c:ptCount val="23"/>
                <c:pt idx="0">
                  <c:v>30820.184639468673</c:v>
                </c:pt>
                <c:pt idx="1">
                  <c:v>38267.68702806026</c:v>
                </c:pt>
                <c:pt idx="2">
                  <c:v>28612.88479735173</c:v>
                </c:pt>
                <c:pt idx="3">
                  <c:v>28447.705614014645</c:v>
                </c:pt>
                <c:pt idx="4">
                  <c:v>19734.715919846538</c:v>
                </c:pt>
                <c:pt idx="5">
                  <c:v>62745</c:v>
                </c:pt>
                <c:pt idx="6">
                  <c:v>31034.796534893492</c:v>
                </c:pt>
                <c:pt idx="7">
                  <c:v>41679.815897335946</c:v>
                </c:pt>
                <c:pt idx="8">
                  <c:v>25790.723514584104</c:v>
                </c:pt>
                <c:pt idx="9">
                  <c:v>13307.260619963483</c:v>
                </c:pt>
                <c:pt idx="10">
                  <c:v>25916</c:v>
                </c:pt>
                <c:pt idx="11">
                  <c:v>15750.309118144036</c:v>
                </c:pt>
                <c:pt idx="12">
                  <c:v>33964.99363365247</c:v>
                </c:pt>
                <c:pt idx="13">
                  <c:v>7620.4689957408336</c:v>
                </c:pt>
                <c:pt idx="14">
                  <c:v>15747.331426915363</c:v>
                </c:pt>
                <c:pt idx="15">
                  <c:v>17133.567142753531</c:v>
                </c:pt>
                <c:pt idx="16">
                  <c:v>9988.9289163747126</c:v>
                </c:pt>
                <c:pt idx="17">
                  <c:v>33454.207224970327</c:v>
                </c:pt>
                <c:pt idx="18">
                  <c:v>36748.203762803088</c:v>
                </c:pt>
                <c:pt idx="19">
                  <c:v>32108</c:v>
                </c:pt>
                <c:pt idx="20">
                  <c:v>30331.473262428921</c:v>
                </c:pt>
                <c:pt idx="21">
                  <c:v>14870.794800799555</c:v>
                </c:pt>
                <c:pt idx="22">
                  <c:v>25525.255129564153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F3-43C5-926D-F34C0DB831A4}"/>
            </c:ext>
          </c:extLst>
        </c:ser>
        <c:ser>
          <c:idx val="1"/>
          <c:order val="1"/>
          <c:tx>
            <c:v>original methods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RR_CBCU!$U$6:$U$28</c:f>
              <c:numCache>
                <c:formatCode>General</c:formatCode>
                <c:ptCount val="23"/>
                <c:pt idx="0">
                  <c:v>18200</c:v>
                </c:pt>
                <c:pt idx="1">
                  <c:v>36510</c:v>
                </c:pt>
                <c:pt idx="2">
                  <c:v>26310</c:v>
                </c:pt>
                <c:pt idx="3">
                  <c:v>31720</c:v>
                </c:pt>
                <c:pt idx="4">
                  <c:v>49000</c:v>
                </c:pt>
                <c:pt idx="5">
                  <c:v>41250</c:v>
                </c:pt>
                <c:pt idx="6">
                  <c:v>25920</c:v>
                </c:pt>
                <c:pt idx="7">
                  <c:v>32420</c:v>
                </c:pt>
                <c:pt idx="8">
                  <c:v>21270</c:v>
                </c:pt>
                <c:pt idx="9">
                  <c:v>25590</c:v>
                </c:pt>
                <c:pt idx="10">
                  <c:v>25590</c:v>
                </c:pt>
                <c:pt idx="11">
                  <c:v>28066</c:v>
                </c:pt>
                <c:pt idx="12">
                  <c:v>35960</c:v>
                </c:pt>
                <c:pt idx="13">
                  <c:v>11280</c:v>
                </c:pt>
                <c:pt idx="14">
                  <c:v>12560</c:v>
                </c:pt>
                <c:pt idx="15">
                  <c:v>20410</c:v>
                </c:pt>
                <c:pt idx="16">
                  <c:v>12710</c:v>
                </c:pt>
                <c:pt idx="17">
                  <c:v>26840</c:v>
                </c:pt>
                <c:pt idx="18">
                  <c:v>37250</c:v>
                </c:pt>
                <c:pt idx="19">
                  <c:v>32108</c:v>
                </c:pt>
                <c:pt idx="20">
                  <c:v>31544</c:v>
                </c:pt>
                <c:pt idx="21">
                  <c:v>31544</c:v>
                </c:pt>
                <c:pt idx="22">
                  <c:v>31544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F3-43C5-926D-F34C0DB831A4}"/>
            </c:ext>
          </c:extLst>
        </c:ser>
        <c:ser>
          <c:idx val="2"/>
          <c:order val="2"/>
          <c:tx>
            <c:v>simplified annual (alternate based on inflow split)</c:v>
          </c:tx>
          <c:spPr>
            <a:ln w="12700" cap="rnd">
              <a:solidFill>
                <a:schemeClr val="bg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RR_CBCU!$A$6:$A$28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RR_CBCU!#REF!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F3-43C5-926D-F34C0DB83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04271"/>
        <c:axId val="1406397103"/>
      </c:scatterChart>
      <c:valAx>
        <c:axId val="1077704271"/>
        <c:scaling>
          <c:orientation val="minMax"/>
          <c:min val="19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397103"/>
        <c:crossesAt val="-500"/>
        <c:crossBetween val="midCat"/>
      </c:valAx>
      <c:valAx>
        <c:axId val="140639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Volume of water (acre-feet/year) </a:t>
                </a:r>
              </a:p>
            </c:rich>
          </c:tx>
          <c:layout>
            <c:manualLayout>
              <c:xMode val="edge"/>
              <c:yMode val="edge"/>
              <c:x val="1.9884011239163359E-2"/>
              <c:y val="0.23375787489871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704271"/>
        <c:crossesAt val="1995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48170113195996"/>
          <c:y val="0.80073576181714956"/>
          <c:w val="0.85151829886803998"/>
          <c:h val="0.18774054944101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55034</xdr:rowOff>
    </xdr:from>
    <xdr:to>
      <xdr:col>9</xdr:col>
      <xdr:colOff>495300</xdr:colOff>
      <xdr:row>36</xdr:row>
      <xdr:rowOff>84666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656915-3E46-4B57-AAF2-C5DE185CFA03}"/>
            </a:ext>
          </a:extLst>
        </xdr:cNvPr>
        <xdr:cNvSpPr txBox="1"/>
      </xdr:nvSpPr>
      <xdr:spPr>
        <a:xfrm>
          <a:off x="681567" y="376767"/>
          <a:ext cx="5689600" cy="5499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Explanation of sheet RR_CBCU columns a-k:</a:t>
          </a:r>
        </a:p>
        <a:p>
          <a:endParaRPr lang="en-US" sz="1100"/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Calendar year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Lovewell Net evaporation (NetEvap), [EC]: calculated in sheet Net_Evap of file Lovewell.xlsx, given by Lovewell evaporation – direct precipitation as prescribed by RRCA EC for federal reservoirs.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RR Inflow from Courtland Canal [BOR: sheet ‘C-LOV’, file BOST-MISC3MWD.xlsx.]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compliance accounting input line 269.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WRC Inflow [USGS]: mean annual flow at Burr Oak USGS gage 06853800 and converted to acre-feet.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Lovewell discharge to lower KS Bostwick District [BOR: from sheet ‘C-BELOW’, file KS-BOST3MWD.xlsx (Courtland Canal, Mile 38.0).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  outflow, af [BOR: file Lov-outfl.xlsx; copy: sheet LVKS_Out_AF Lovewell1995-2017.xlsx]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g) fRR = RR/(RR+c*WRC) [RR: col. C, WRC: col. D, c = A2/A1 = 1.52, ratio of basin drainage areas for USGS White Rock C gages at Lovewell and Burr Oak]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h) RR Evap charge, EvapRR = fRR*NetEvap (cols. G and B);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compliance accounting input line 228.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i) Diversion to Lower District = Min (RR – EvapRR, Outflow to lower district) [cols. C, H, E];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compliance accounting input line 270.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j) WRC diversion to Lower District = [col. E] – [col. I]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k) WRC spill: Lovewell total discharge – Lovewell discharge to Lower District = [col. F] – [col. E].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71965</xdr:colOff>
      <xdr:row>41</xdr:row>
      <xdr:rowOff>29635</xdr:rowOff>
    </xdr:from>
    <xdr:to>
      <xdr:col>14</xdr:col>
      <xdr:colOff>198967</xdr:colOff>
      <xdr:row>61</xdr:row>
      <xdr:rowOff>118533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25E3BD-646A-41DD-8753-C9B701DD5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634999</xdr:colOff>
      <xdr:row>41</xdr:row>
      <xdr:rowOff>38099</xdr:rowOff>
    </xdr:from>
    <xdr:to>
      <xdr:col>22</xdr:col>
      <xdr:colOff>596899</xdr:colOff>
      <xdr:row>61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9D1029-D989-49FA-A473-7AEF0F733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67</xdr:row>
      <xdr:rowOff>8467</xdr:rowOff>
    </xdr:from>
    <xdr:to>
      <xdr:col>22</xdr:col>
      <xdr:colOff>605366</xdr:colOff>
      <xdr:row>87</xdr:row>
      <xdr:rowOff>97367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C43A95-A472-4085-9287-4324FBC52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aterdata.usgs.gov/ks/nwis/annual/?referred_module=sw&amp;amp;site_no=06853800&amp;amp;por_06853800_54716=92218,00060,54716,1958,2018&amp;amp;partial_periods=on&amp;amp;year_type=C&amp;amp;format=rdb&amp;amp;date_format=MM/DD/YYYY&amp;amp;rdb_compression=value&amp;amp;submitted_form=parameter_selection_lis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aterdata.usgs.gov/ks/nwis/monthly?referred_module=sw&amp;amp;site_no=06853800&amp;amp;por_06853800_54716=92218,00060,54716,1957-10,2018-04&amp;amp;start_dt=2000-01&amp;amp;end_dt=2017-12&amp;amp;partial_periods=on&amp;amp;format=html_table&amp;amp;date_format=YYYY-MM-DD&amp;amp;rdb_compression=file&amp;amp;submitted_form=parameter_selection_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topLeftCell="A9" workbookViewId="0">
      <selection activeCell="O27" sqref="O27"/>
    </sheetView>
  </sheetViews>
  <sheetFormatPr defaultRowHeight="12.7"/>
  <cols>
    <col min="5" max="5" width="10.1171875" bestFit="1" customWidth="1"/>
  </cols>
  <sheetData>
    <row r="3" spans="2:7">
      <c r="B3" s="10"/>
      <c r="C3" s="10"/>
      <c r="D3" s="10"/>
      <c r="E3" s="10"/>
      <c r="F3" s="10"/>
      <c r="G3" s="10"/>
    </row>
    <row r="6" spans="2:7">
      <c r="D6" s="10"/>
      <c r="E6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9" sqref="F9"/>
    </sheetView>
  </sheetViews>
  <sheetFormatPr defaultRowHeight="12.7"/>
  <sheetData>
    <row r="1" spans="1:8">
      <c r="A1">
        <v>1</v>
      </c>
      <c r="B1">
        <v>31</v>
      </c>
      <c r="C1" t="s">
        <v>39</v>
      </c>
      <c r="F1">
        <f>3600*24</f>
        <v>86400</v>
      </c>
      <c r="G1" t="s">
        <v>40</v>
      </c>
    </row>
    <row r="2" spans="1:8">
      <c r="A2">
        <v>2</v>
      </c>
      <c r="B2">
        <v>28.25</v>
      </c>
      <c r="C2" t="s">
        <v>41</v>
      </c>
      <c r="F2">
        <f>5280^2/640</f>
        <v>43560</v>
      </c>
      <c r="G2" t="s">
        <v>42</v>
      </c>
    </row>
    <row r="3" spans="1:8">
      <c r="A3">
        <v>3</v>
      </c>
      <c r="B3">
        <v>31</v>
      </c>
      <c r="C3" t="s">
        <v>43</v>
      </c>
      <c r="F3">
        <f>F1/F2</f>
        <v>1.9834710743801653</v>
      </c>
      <c r="G3" t="s">
        <v>44</v>
      </c>
    </row>
    <row r="4" spans="1:8">
      <c r="A4">
        <v>4</v>
      </c>
      <c r="B4">
        <v>30</v>
      </c>
      <c r="C4" t="s">
        <v>45</v>
      </c>
    </row>
    <row r="5" spans="1:8">
      <c r="A5">
        <v>5</v>
      </c>
      <c r="B5">
        <v>31</v>
      </c>
      <c r="C5" t="s">
        <v>46</v>
      </c>
      <c r="F5" t="s">
        <v>47</v>
      </c>
      <c r="G5" t="s">
        <v>48</v>
      </c>
    </row>
    <row r="6" spans="1:8">
      <c r="A6">
        <v>6</v>
      </c>
      <c r="B6">
        <v>30</v>
      </c>
      <c r="C6" t="s">
        <v>49</v>
      </c>
      <c r="F6" t="s">
        <v>50</v>
      </c>
      <c r="G6" t="s">
        <v>51</v>
      </c>
    </row>
    <row r="7" spans="1:8">
      <c r="A7">
        <v>7</v>
      </c>
      <c r="B7">
        <v>31</v>
      </c>
      <c r="C7" t="s">
        <v>52</v>
      </c>
      <c r="E7" s="11" t="s">
        <v>53</v>
      </c>
      <c r="F7">
        <v>345</v>
      </c>
      <c r="G7">
        <v>1531.52</v>
      </c>
      <c r="H7" s="12" t="s">
        <v>54</v>
      </c>
    </row>
    <row r="8" spans="1:8">
      <c r="A8">
        <v>8</v>
      </c>
      <c r="B8">
        <v>31</v>
      </c>
      <c r="C8" t="s">
        <v>55</v>
      </c>
      <c r="E8" s="11" t="s">
        <v>56</v>
      </c>
      <c r="F8">
        <v>227</v>
      </c>
      <c r="G8">
        <v>1600.84</v>
      </c>
      <c r="H8" s="12" t="s">
        <v>57</v>
      </c>
    </row>
    <row r="9" spans="1:8">
      <c r="A9">
        <v>9</v>
      </c>
      <c r="B9">
        <v>30</v>
      </c>
      <c r="C9" t="s">
        <v>58</v>
      </c>
      <c r="E9" s="11" t="s">
        <v>59</v>
      </c>
      <c r="F9" s="13">
        <f>F7/F8</f>
        <v>1.5198237885462555</v>
      </c>
    </row>
    <row r="10" spans="1:8">
      <c r="A10">
        <v>10</v>
      </c>
      <c r="B10">
        <v>31</v>
      </c>
      <c r="C10" t="s">
        <v>60</v>
      </c>
    </row>
    <row r="11" spans="1:8">
      <c r="A11">
        <v>11</v>
      </c>
      <c r="B11">
        <v>30</v>
      </c>
      <c r="C11" t="s">
        <v>61</v>
      </c>
    </row>
    <row r="12" spans="1:8">
      <c r="A12">
        <v>12</v>
      </c>
      <c r="B12">
        <v>31</v>
      </c>
      <c r="C1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workbookViewId="0">
      <pane xSplit="1" ySplit="5" topLeftCell="B23" activePane="bottomRight" state="frozen"/>
      <selection pane="topRight" activeCell="B1" sqref="B1"/>
      <selection pane="bottomLeft" activeCell="A6" sqref="A6"/>
      <selection pane="bottomRight" activeCell="C28" sqref="C28"/>
    </sheetView>
  </sheetViews>
  <sheetFormatPr defaultRowHeight="12.7"/>
  <cols>
    <col min="1" max="1" width="9.41015625" customWidth="1"/>
    <col min="3" max="3" width="14.29296875" customWidth="1"/>
    <col min="4" max="4" width="10" customWidth="1"/>
    <col min="5" max="5" width="10.41015625" customWidth="1"/>
    <col min="7" max="7" width="10.29296875" bestFit="1" customWidth="1"/>
    <col min="8" max="8" width="13.87890625" bestFit="1" customWidth="1"/>
    <col min="9" max="9" width="19" customWidth="1"/>
  </cols>
  <sheetData>
    <row r="1" spans="1:24">
      <c r="A1" t="s">
        <v>0</v>
      </c>
      <c r="B1" t="s">
        <v>1</v>
      </c>
      <c r="C1" s="10" t="s">
        <v>135</v>
      </c>
      <c r="D1" s="10" t="s">
        <v>142</v>
      </c>
      <c r="E1" s="10" t="s">
        <v>140</v>
      </c>
      <c r="F1" s="11" t="s">
        <v>37</v>
      </c>
      <c r="G1" s="45" t="s">
        <v>27</v>
      </c>
      <c r="H1" s="44" t="s">
        <v>116</v>
      </c>
      <c r="I1" s="73" t="s">
        <v>28</v>
      </c>
      <c r="J1" t="s">
        <v>132</v>
      </c>
      <c r="K1" s="10" t="s">
        <v>149</v>
      </c>
      <c r="L1" s="10"/>
      <c r="N1" s="10" t="s">
        <v>149</v>
      </c>
      <c r="Q1" t="s">
        <v>169</v>
      </c>
    </row>
    <row r="2" spans="1:24">
      <c r="B2" t="s">
        <v>2</v>
      </c>
      <c r="C2" t="s">
        <v>3</v>
      </c>
      <c r="D2" t="s">
        <v>33</v>
      </c>
      <c r="E2" s="10" t="s">
        <v>141</v>
      </c>
      <c r="F2" s="11" t="s">
        <v>115</v>
      </c>
      <c r="G2" s="11" t="s">
        <v>110</v>
      </c>
      <c r="H2" s="44" t="s">
        <v>117</v>
      </c>
      <c r="I2" s="44" t="s">
        <v>190</v>
      </c>
      <c r="J2" t="s">
        <v>133</v>
      </c>
      <c r="K2" s="10" t="s">
        <v>139</v>
      </c>
      <c r="L2" s="10"/>
      <c r="N2" s="10" t="s">
        <v>148</v>
      </c>
      <c r="Q2" t="s">
        <v>170</v>
      </c>
      <c r="T2" s="10" t="s">
        <v>177</v>
      </c>
      <c r="V2" s="10" t="s">
        <v>177</v>
      </c>
      <c r="W2" s="10" t="s">
        <v>37</v>
      </c>
      <c r="X2" s="10" t="s">
        <v>177</v>
      </c>
    </row>
    <row r="3" spans="1:24" ht="14.35">
      <c r="B3" s="10" t="s">
        <v>208</v>
      </c>
      <c r="C3" s="10" t="s">
        <v>136</v>
      </c>
      <c r="D3" s="10" t="s">
        <v>109</v>
      </c>
      <c r="E3" s="10" t="s">
        <v>137</v>
      </c>
      <c r="F3" s="11" t="s">
        <v>138</v>
      </c>
      <c r="G3" s="11" t="s">
        <v>114</v>
      </c>
      <c r="H3" s="11" t="s">
        <v>113</v>
      </c>
      <c r="I3" s="43" t="s">
        <v>189</v>
      </c>
      <c r="N3" t="s">
        <v>25</v>
      </c>
      <c r="Q3" s="10" t="s">
        <v>167</v>
      </c>
      <c r="R3" t="s">
        <v>168</v>
      </c>
      <c r="S3" t="s">
        <v>166</v>
      </c>
      <c r="T3" s="10" t="s">
        <v>173</v>
      </c>
      <c r="U3" t="s">
        <v>171</v>
      </c>
      <c r="W3" s="10" t="s">
        <v>175</v>
      </c>
    </row>
    <row r="4" spans="1:24">
      <c r="G4" s="11" t="s">
        <v>112</v>
      </c>
      <c r="H4" s="11" t="s">
        <v>111</v>
      </c>
      <c r="K4" s="7"/>
      <c r="N4" s="7" t="s">
        <v>26</v>
      </c>
      <c r="P4" t="s">
        <v>165</v>
      </c>
      <c r="S4" t="s">
        <v>116</v>
      </c>
      <c r="T4" s="69" t="s">
        <v>174</v>
      </c>
      <c r="U4" t="s">
        <v>172</v>
      </c>
      <c r="W4" s="10" t="s">
        <v>176</v>
      </c>
    </row>
    <row r="5" spans="1:24" ht="14.35">
      <c r="C5" s="74" t="s">
        <v>211</v>
      </c>
      <c r="G5" s="75">
        <v>1</v>
      </c>
      <c r="H5" s="74" t="s">
        <v>209</v>
      </c>
      <c r="I5" s="74" t="s">
        <v>210</v>
      </c>
      <c r="N5" s="10"/>
      <c r="S5" s="70" t="s">
        <v>178</v>
      </c>
      <c r="T5" s="71"/>
      <c r="U5" s="70" t="s">
        <v>179</v>
      </c>
      <c r="V5" s="71"/>
      <c r="W5" s="70" t="s">
        <v>180</v>
      </c>
    </row>
    <row r="6" spans="1:24">
      <c r="A6">
        <v>1995</v>
      </c>
      <c r="B6" s="6">
        <v>1648.9359999999999</v>
      </c>
      <c r="C6" s="6">
        <f>'C-LOV'!N44</f>
        <v>31839</v>
      </c>
      <c r="D6" s="6">
        <f>WRC_BurrOak_annual!H44</f>
        <v>19691.900826446283</v>
      </c>
      <c r="E6" s="6">
        <f>'C-BELOW'!N44</f>
        <v>46493</v>
      </c>
      <c r="F6" s="9">
        <f>LVKS_Out_AF!N44</f>
        <v>53755</v>
      </c>
      <c r="G6" s="8">
        <f>C6/(C6+$G$5*D6)</f>
        <v>0.61786228242413799</v>
      </c>
      <c r="H6" s="6">
        <f t="shared" ref="H6:H28" si="0">G6*B6</f>
        <v>1018.8153605313283</v>
      </c>
      <c r="I6" s="6">
        <f t="shared" ref="I6:I28" si="1">MIN(C6-H6,E6)</f>
        <v>30820.184639468673</v>
      </c>
      <c r="J6" s="6">
        <f t="shared" ref="J6:J28" si="2">E6-I6</f>
        <v>15672.815360531327</v>
      </c>
      <c r="K6" s="9">
        <f t="shared" ref="K6:K28" si="3">MAX(F6-E6,0)</f>
        <v>7262</v>
      </c>
      <c r="L6" s="9"/>
      <c r="N6" s="6">
        <f>WRC_bl_Lovewell_USGS!N54</f>
        <v>7072.8198347107455</v>
      </c>
      <c r="P6">
        <v>1995</v>
      </c>
      <c r="S6" s="6">
        <v>1018.7369363154431</v>
      </c>
      <c r="T6" s="6">
        <f t="shared" ref="T6:T28" si="4">H6-S6</f>
        <v>7.842421588520665E-2</v>
      </c>
      <c r="U6">
        <v>18200</v>
      </c>
      <c r="V6" s="6">
        <f t="shared" ref="V6:V28" si="5">U6-I6</f>
        <v>-12620.184639468673</v>
      </c>
      <c r="W6" s="10">
        <v>22888</v>
      </c>
      <c r="X6" s="6">
        <f t="shared" ref="X6:X27" si="6">W6-C6</f>
        <v>-8951</v>
      </c>
    </row>
    <row r="7" spans="1:24">
      <c r="A7">
        <v>1996</v>
      </c>
      <c r="B7" s="6">
        <v>851.79379166666661</v>
      </c>
      <c r="C7" s="6">
        <f>'C-LOV'!N45</f>
        <v>38849</v>
      </c>
      <c r="D7" s="6">
        <f>WRC_BurrOak_annual!H45</f>
        <v>18076.165289256198</v>
      </c>
      <c r="E7" s="6">
        <f>'C-BELOW'!N45</f>
        <v>46946</v>
      </c>
      <c r="F7" s="9">
        <f>LVKS_Out_AF!N45</f>
        <v>64549</v>
      </c>
      <c r="G7" s="8">
        <f t="shared" ref="G7:G28" si="7">C7/(C7+$G$5*D7)</f>
        <v>0.68245739476723466</v>
      </c>
      <c r="H7" s="6">
        <f t="shared" si="0"/>
        <v>581.31297193973796</v>
      </c>
      <c r="I7" s="6">
        <f t="shared" si="1"/>
        <v>38267.68702806026</v>
      </c>
      <c r="J7" s="6">
        <f t="shared" si="2"/>
        <v>8678.3129719397402</v>
      </c>
      <c r="K7" s="9">
        <f t="shared" si="3"/>
        <v>17603</v>
      </c>
      <c r="L7" s="9"/>
      <c r="N7" s="6">
        <f>WRC_bl_Lovewell_USGS!N55</f>
        <v>15833.271074380165</v>
      </c>
      <c r="P7">
        <v>1996</v>
      </c>
      <c r="S7" s="6">
        <v>581.36148663933557</v>
      </c>
      <c r="T7" s="6">
        <f t="shared" si="4"/>
        <v>-4.8514699597603794E-2</v>
      </c>
      <c r="U7">
        <v>36510</v>
      </c>
      <c r="V7" s="6">
        <f t="shared" si="5"/>
        <v>-1757.6870280602598</v>
      </c>
      <c r="W7">
        <v>38849</v>
      </c>
      <c r="X7" s="6">
        <f t="shared" si="6"/>
        <v>0</v>
      </c>
    </row>
    <row r="8" spans="1:24">
      <c r="A8">
        <v>1997</v>
      </c>
      <c r="B8" s="6">
        <v>2116.3768333333328</v>
      </c>
      <c r="C8" s="6">
        <f>'C-LOV'!N46</f>
        <v>29802</v>
      </c>
      <c r="D8" s="6">
        <f>WRC_BurrOak_annual!H46</f>
        <v>23239.338842975209</v>
      </c>
      <c r="E8" s="6">
        <f>'C-BELOW'!N46</f>
        <v>48831</v>
      </c>
      <c r="F8" s="9">
        <f>LVKS_Out_AF!N46</f>
        <v>56800</v>
      </c>
      <c r="G8" s="8">
        <f t="shared" si="7"/>
        <v>0.56186364541488143</v>
      </c>
      <c r="H8" s="6">
        <f t="shared" si="0"/>
        <v>1189.1152026482694</v>
      </c>
      <c r="I8" s="6">
        <f t="shared" si="1"/>
        <v>28612.88479735173</v>
      </c>
      <c r="J8" s="6">
        <f t="shared" si="2"/>
        <v>20218.11520264827</v>
      </c>
      <c r="K8" s="9">
        <f t="shared" si="3"/>
        <v>7969</v>
      </c>
      <c r="L8" s="9"/>
      <c r="N8" s="6">
        <f>WRC_bl_Lovewell_USGS!N56</f>
        <v>7809.9540495867777</v>
      </c>
      <c r="P8">
        <v>1997</v>
      </c>
      <c r="S8" s="6">
        <v>1188.3135633835846</v>
      </c>
      <c r="T8" s="6">
        <f t="shared" si="4"/>
        <v>0.80163926468480895</v>
      </c>
      <c r="U8">
        <v>26310</v>
      </c>
      <c r="V8" s="6">
        <f t="shared" si="5"/>
        <v>-2302.8847973517295</v>
      </c>
      <c r="W8">
        <v>28846</v>
      </c>
      <c r="X8" s="6">
        <f t="shared" si="6"/>
        <v>-956</v>
      </c>
    </row>
    <row r="9" spans="1:24">
      <c r="A9">
        <v>1998</v>
      </c>
      <c r="B9" s="6">
        <v>267.01550000000009</v>
      </c>
      <c r="C9" s="6">
        <f>'C-LOV'!N47</f>
        <v>28570</v>
      </c>
      <c r="D9" s="6">
        <f>WRC_BurrOak_annual!H47</f>
        <v>33809.25619834711</v>
      </c>
      <c r="E9" s="6">
        <f>'C-BELOW'!N47</f>
        <v>49058</v>
      </c>
      <c r="F9" s="9">
        <f>LVKS_Out_AF!N47</f>
        <v>72557</v>
      </c>
      <c r="G9" s="8">
        <f t="shared" si="7"/>
        <v>0.45800481989006198</v>
      </c>
      <c r="H9" s="6">
        <f t="shared" si="0"/>
        <v>122.29438598535488</v>
      </c>
      <c r="I9" s="6">
        <f t="shared" si="1"/>
        <v>28447.705614014645</v>
      </c>
      <c r="J9" s="6">
        <f t="shared" si="2"/>
        <v>20610.294385985355</v>
      </c>
      <c r="K9" s="9">
        <f t="shared" si="3"/>
        <v>23499</v>
      </c>
      <c r="L9" s="9"/>
      <c r="N9" s="6">
        <f>WRC_bl_Lovewell_USGS!N57</f>
        <v>22099.628429752072</v>
      </c>
      <c r="P9">
        <v>1998</v>
      </c>
      <c r="S9" s="6">
        <v>122.31208163183913</v>
      </c>
      <c r="T9" s="6">
        <f t="shared" si="4"/>
        <v>-1.7695646484256145E-2</v>
      </c>
      <c r="U9">
        <v>31720</v>
      </c>
      <c r="V9" s="6">
        <f t="shared" si="5"/>
        <v>3272.2943859853549</v>
      </c>
      <c r="W9">
        <v>28570</v>
      </c>
      <c r="X9" s="6">
        <f t="shared" si="6"/>
        <v>0</v>
      </c>
    </row>
    <row r="10" spans="1:24">
      <c r="A10">
        <v>1999</v>
      </c>
      <c r="B10" s="6">
        <v>1945.7152499999995</v>
      </c>
      <c r="C10" s="6">
        <f>'C-LOV'!N48</f>
        <v>20851</v>
      </c>
      <c r="D10" s="6">
        <f>WRC_BurrOak_annual!H48</f>
        <v>15492.89256198347</v>
      </c>
      <c r="E10" s="6">
        <f>'C-BELOW'!N48</f>
        <v>49570</v>
      </c>
      <c r="F10" s="9">
        <f>LVKS_Out_AF!N48</f>
        <v>51259</v>
      </c>
      <c r="G10" s="8">
        <f t="shared" si="7"/>
        <v>0.57371400062443001</v>
      </c>
      <c r="H10" s="6">
        <f t="shared" si="0"/>
        <v>1116.2840801534628</v>
      </c>
      <c r="I10" s="6">
        <f t="shared" si="1"/>
        <v>19734.715919846538</v>
      </c>
      <c r="J10" s="6">
        <f t="shared" si="2"/>
        <v>29835.284080153462</v>
      </c>
      <c r="K10" s="9">
        <f t="shared" si="3"/>
        <v>1689</v>
      </c>
      <c r="L10" s="9"/>
      <c r="N10" s="6">
        <f>WRC_bl_Lovewell_USGS!N58</f>
        <v>94.817851239669409</v>
      </c>
      <c r="P10">
        <v>1999</v>
      </c>
      <c r="S10" s="6">
        <v>1116.5518935042269</v>
      </c>
      <c r="T10" s="6">
        <f t="shared" si="4"/>
        <v>-0.26781335076407231</v>
      </c>
      <c r="U10">
        <v>49000</v>
      </c>
      <c r="V10" s="6">
        <f t="shared" si="5"/>
        <v>29265.284080153462</v>
      </c>
      <c r="W10">
        <v>20851</v>
      </c>
      <c r="X10" s="6">
        <f t="shared" si="6"/>
        <v>0</v>
      </c>
    </row>
    <row r="11" spans="1:24">
      <c r="A11">
        <v>2000</v>
      </c>
      <c r="B11" s="6">
        <v>4124.2217083333326</v>
      </c>
      <c r="C11" s="6">
        <f>'C-LOV'!N49</f>
        <v>73479</v>
      </c>
      <c r="D11" s="6">
        <f>WRC_BurrOak_annual!H49</f>
        <v>4595.2661157024795</v>
      </c>
      <c r="E11" s="6">
        <f>'C-BELOW'!N49</f>
        <v>62745</v>
      </c>
      <c r="F11" s="9">
        <f>LVKS_Out_AF!N49</f>
        <v>65055</v>
      </c>
      <c r="G11" s="8">
        <f t="shared" si="7"/>
        <v>0.94114237194503358</v>
      </c>
      <c r="H11" s="6">
        <f t="shared" si="0"/>
        <v>3881.4798010080312</v>
      </c>
      <c r="I11" s="6">
        <f t="shared" si="1"/>
        <v>62745</v>
      </c>
      <c r="J11" s="6">
        <f t="shared" si="2"/>
        <v>0</v>
      </c>
      <c r="K11" s="9">
        <f t="shared" si="3"/>
        <v>2310</v>
      </c>
      <c r="L11" s="9"/>
      <c r="N11" s="6">
        <f>WRC_bl_Lovewell_USGS!N59</f>
        <v>81.214214876033054</v>
      </c>
      <c r="P11">
        <v>2000</v>
      </c>
      <c r="S11" s="6">
        <v>3882.1973120071225</v>
      </c>
      <c r="T11" s="6">
        <f t="shared" si="4"/>
        <v>-0.71751099909124605</v>
      </c>
      <c r="U11">
        <v>41250</v>
      </c>
      <c r="V11" s="6">
        <f t="shared" si="5"/>
        <v>-21495</v>
      </c>
      <c r="W11">
        <v>73479</v>
      </c>
      <c r="X11" s="6">
        <f t="shared" si="6"/>
        <v>0</v>
      </c>
    </row>
    <row r="12" spans="1:24">
      <c r="A12">
        <v>2001</v>
      </c>
      <c r="B12" s="6">
        <v>-219.49437499999951</v>
      </c>
      <c r="C12" s="6">
        <f>'C-LOV'!N50</f>
        <v>30909</v>
      </c>
      <c r="D12" s="6">
        <f>WRC_BurrOak_annual!H50</f>
        <v>23022.14876033058</v>
      </c>
      <c r="E12" s="6">
        <f>'C-BELOW'!N50</f>
        <v>47244</v>
      </c>
      <c r="F12" s="9">
        <f>LVKS_Out_AF!N50</f>
        <v>56452</v>
      </c>
      <c r="G12" s="8">
        <f t="shared" si="7"/>
        <v>0.57311962957361151</v>
      </c>
      <c r="H12" s="6">
        <f t="shared" si="0"/>
        <v>-125.7965348934911</v>
      </c>
      <c r="I12" s="6">
        <f t="shared" si="1"/>
        <v>31034.796534893492</v>
      </c>
      <c r="J12" s="6">
        <f t="shared" si="2"/>
        <v>16209.203465106508</v>
      </c>
      <c r="K12" s="9">
        <f t="shared" si="3"/>
        <v>9208</v>
      </c>
      <c r="L12" s="9"/>
      <c r="N12" s="6">
        <f>WRC_bl_Lovewell_USGS!N60</f>
        <v>9305.2413223140502</v>
      </c>
      <c r="P12">
        <v>2001</v>
      </c>
      <c r="S12" s="6">
        <v>-125.78717844338362</v>
      </c>
      <c r="T12" s="6">
        <f t="shared" si="4"/>
        <v>-9.3564501074752116E-3</v>
      </c>
      <c r="U12">
        <v>25920</v>
      </c>
      <c r="V12" s="6">
        <f t="shared" si="5"/>
        <v>-5114.7965348934922</v>
      </c>
      <c r="W12">
        <v>26117</v>
      </c>
      <c r="X12" s="6">
        <f t="shared" si="6"/>
        <v>-4792</v>
      </c>
    </row>
    <row r="13" spans="1:24">
      <c r="A13">
        <v>2002</v>
      </c>
      <c r="B13" s="6">
        <v>2740.8289583333335</v>
      </c>
      <c r="C13" s="6">
        <f>'C-LOV'!N51</f>
        <v>44153</v>
      </c>
      <c r="D13" s="6">
        <f>WRC_BurrOak_annual!H51</f>
        <v>4778.181818181818</v>
      </c>
      <c r="E13" s="6">
        <f>'C-BELOW'!N51</f>
        <v>46557</v>
      </c>
      <c r="F13" s="9">
        <f>LVKS_Out_AF!N51</f>
        <v>51478</v>
      </c>
      <c r="G13" s="8">
        <f t="shared" si="7"/>
        <v>0.90234893904797653</v>
      </c>
      <c r="H13" s="6">
        <f t="shared" si="0"/>
        <v>2473.1841026640541</v>
      </c>
      <c r="I13" s="6">
        <f t="shared" si="1"/>
        <v>41679.815897335946</v>
      </c>
      <c r="J13" s="6">
        <f t="shared" si="2"/>
        <v>4877.1841026640541</v>
      </c>
      <c r="K13" s="9">
        <f t="shared" si="3"/>
        <v>4921</v>
      </c>
      <c r="L13" s="9"/>
      <c r="N13" s="6">
        <f>WRC_bl_Lovewell_USGS!N61</f>
        <v>133.81190082644628</v>
      </c>
      <c r="P13">
        <v>2002</v>
      </c>
      <c r="S13" s="6">
        <v>2472.6198080501413</v>
      </c>
      <c r="T13" s="6">
        <f t="shared" si="4"/>
        <v>0.56429461391280711</v>
      </c>
      <c r="U13">
        <v>32420</v>
      </c>
      <c r="V13" s="6">
        <f t="shared" si="5"/>
        <v>-9259.8158973359459</v>
      </c>
      <c r="W13">
        <v>44371</v>
      </c>
      <c r="X13" s="6">
        <f t="shared" si="6"/>
        <v>218</v>
      </c>
    </row>
    <row r="14" spans="1:24">
      <c r="A14">
        <f>1+A13</f>
        <v>2003</v>
      </c>
      <c r="B14" s="6">
        <v>857.22770833333288</v>
      </c>
      <c r="C14" s="6">
        <f>'C-LOV'!N52</f>
        <v>26596</v>
      </c>
      <c r="D14" s="6">
        <f>WRC_BurrOak_annual!H52</f>
        <v>1715.8016528925621</v>
      </c>
      <c r="E14" s="6">
        <f>'C-BELOW'!N52</f>
        <v>35606</v>
      </c>
      <c r="F14" s="9">
        <f>LVKS_Out_AF!N52</f>
        <v>39079</v>
      </c>
      <c r="G14" s="8">
        <f t="shared" si="7"/>
        <v>0.93939623928111049</v>
      </c>
      <c r="H14" s="6">
        <f t="shared" si="0"/>
        <v>805.27648541589758</v>
      </c>
      <c r="I14" s="6">
        <f t="shared" si="1"/>
        <v>25790.723514584104</v>
      </c>
      <c r="J14" s="6">
        <f t="shared" si="2"/>
        <v>9815.2764854158959</v>
      </c>
      <c r="K14" s="9">
        <f t="shared" si="3"/>
        <v>3473</v>
      </c>
      <c r="L14" s="9"/>
      <c r="P14">
        <f>1+P13</f>
        <v>2003</v>
      </c>
      <c r="S14" s="6">
        <v>670</v>
      </c>
      <c r="T14" s="6">
        <f t="shared" si="4"/>
        <v>135.27648541589758</v>
      </c>
      <c r="U14">
        <v>21270</v>
      </c>
      <c r="V14" s="6">
        <f t="shared" si="5"/>
        <v>-4520.7235145841041</v>
      </c>
      <c r="W14">
        <v>26595</v>
      </c>
      <c r="X14" s="6">
        <f t="shared" si="6"/>
        <v>-1</v>
      </c>
    </row>
    <row r="15" spans="1:24">
      <c r="A15">
        <f t="shared" ref="A15:A31" si="8">1+A14</f>
        <v>2004</v>
      </c>
      <c r="B15" s="6">
        <v>941.51666666666665</v>
      </c>
      <c r="C15" s="6">
        <f>'C-LOV'!N53</f>
        <v>14130</v>
      </c>
      <c r="D15" s="6">
        <f>WRC_BurrOak_annual!H53</f>
        <v>2039.9206611570248</v>
      </c>
      <c r="E15" s="6">
        <f>'C-BELOW'!N53</f>
        <v>30134</v>
      </c>
      <c r="F15" s="9">
        <f>LVKS_Out_AF!N53</f>
        <v>35243</v>
      </c>
      <c r="G15" s="8">
        <f t="shared" si="7"/>
        <v>0.87384473282807928</v>
      </c>
      <c r="H15" s="6">
        <f t="shared" si="0"/>
        <v>822.7393800365171</v>
      </c>
      <c r="I15" s="6">
        <f t="shared" si="1"/>
        <v>13307.260619963483</v>
      </c>
      <c r="J15" s="6">
        <f t="shared" si="2"/>
        <v>16826.739380036517</v>
      </c>
      <c r="K15" s="9">
        <f t="shared" si="3"/>
        <v>5109</v>
      </c>
      <c r="L15" s="9"/>
      <c r="P15">
        <v>2004</v>
      </c>
      <c r="Q15" s="9">
        <v>1022.5073750000001</v>
      </c>
      <c r="R15" s="56">
        <v>0.59341554738969893</v>
      </c>
      <c r="S15" s="6">
        <v>1110</v>
      </c>
      <c r="T15" s="6">
        <f t="shared" si="4"/>
        <v>-287.2606199634829</v>
      </c>
      <c r="U15">
        <v>25590</v>
      </c>
      <c r="V15" s="6">
        <f t="shared" si="5"/>
        <v>12282.739380036517</v>
      </c>
      <c r="W15">
        <v>14130</v>
      </c>
      <c r="X15" s="6">
        <f t="shared" si="6"/>
        <v>0</v>
      </c>
    </row>
    <row r="16" spans="1:24">
      <c r="A16">
        <f t="shared" si="8"/>
        <v>2005</v>
      </c>
      <c r="B16" s="6">
        <v>3065.7194583333335</v>
      </c>
      <c r="C16" s="6">
        <f>'C-LOV'!N54</f>
        <v>29265</v>
      </c>
      <c r="D16" s="6">
        <f>WRC_BurrOak_annual!H54</f>
        <v>3663.272727272727</v>
      </c>
      <c r="E16" s="6">
        <f>'C-BELOW'!N54</f>
        <v>25916</v>
      </c>
      <c r="F16" s="9">
        <f>LVKS_Out_AF!N54</f>
        <v>25473</v>
      </c>
      <c r="G16" s="8">
        <f t="shared" si="7"/>
        <v>0.88874992752842952</v>
      </c>
      <c r="H16" s="6">
        <f t="shared" si="0"/>
        <v>2724.6579464162464</v>
      </c>
      <c r="I16" s="6">
        <f t="shared" si="1"/>
        <v>25916</v>
      </c>
      <c r="J16" s="6">
        <f t="shared" si="2"/>
        <v>0</v>
      </c>
      <c r="K16" s="9">
        <f t="shared" si="3"/>
        <v>0</v>
      </c>
      <c r="L16" s="9"/>
      <c r="P16">
        <f>1+P15</f>
        <v>2005</v>
      </c>
      <c r="Q16" s="9">
        <v>3065.7194583333335</v>
      </c>
      <c r="R16" s="56"/>
      <c r="S16" s="6">
        <v>2020</v>
      </c>
      <c r="T16" s="6">
        <f t="shared" si="4"/>
        <v>704.65794641624643</v>
      </c>
      <c r="U16">
        <v>25590</v>
      </c>
      <c r="V16" s="6">
        <f t="shared" si="5"/>
        <v>-326</v>
      </c>
      <c r="W16">
        <v>29265</v>
      </c>
      <c r="X16" s="6">
        <f t="shared" si="6"/>
        <v>0</v>
      </c>
    </row>
    <row r="17" spans="1:24">
      <c r="A17">
        <f t="shared" si="8"/>
        <v>2006</v>
      </c>
      <c r="B17" s="6">
        <v>3661.0125416666669</v>
      </c>
      <c r="C17" s="6">
        <f>'C-LOV'!N55</f>
        <v>19093.170999999998</v>
      </c>
      <c r="D17" s="6">
        <f>WRC_BurrOak_annual!H55</f>
        <v>1817.1570247933885</v>
      </c>
      <c r="E17" s="6">
        <f>'C-BELOW'!N55</f>
        <v>27851</v>
      </c>
      <c r="F17" s="9">
        <f>LVKS_Out_AF!N55</f>
        <v>28066</v>
      </c>
      <c r="G17" s="8">
        <f t="shared" si="7"/>
        <v>0.91309763181912862</v>
      </c>
      <c r="H17" s="6">
        <f t="shared" si="0"/>
        <v>3342.8618818559626</v>
      </c>
      <c r="I17" s="6">
        <f t="shared" si="1"/>
        <v>15750.309118144036</v>
      </c>
      <c r="J17" s="6">
        <f t="shared" si="2"/>
        <v>12100.690881855964</v>
      </c>
      <c r="K17" s="9">
        <f t="shared" si="3"/>
        <v>215</v>
      </c>
      <c r="L17" s="9"/>
      <c r="P17">
        <f t="shared" ref="P17:P28" si="9">1+P16</f>
        <v>2006</v>
      </c>
      <c r="Q17" s="9">
        <v>3710.8114583333336</v>
      </c>
      <c r="R17" s="56">
        <v>0.74393775475212254</v>
      </c>
      <c r="S17" s="6">
        <v>1770</v>
      </c>
      <c r="T17" s="6">
        <f t="shared" si="4"/>
        <v>1572.8618818559626</v>
      </c>
      <c r="U17">
        <v>28066</v>
      </c>
      <c r="V17" s="6">
        <f t="shared" si="5"/>
        <v>12315.690881855964</v>
      </c>
      <c r="W17">
        <v>19094.007000000001</v>
      </c>
      <c r="X17" s="6">
        <f t="shared" si="6"/>
        <v>0.83600000000296859</v>
      </c>
    </row>
    <row r="18" spans="1:24">
      <c r="A18">
        <f t="shared" si="8"/>
        <v>2007</v>
      </c>
      <c r="B18" s="6">
        <v>879.51079166666716</v>
      </c>
      <c r="C18" s="6">
        <f>'C-LOV'!N56</f>
        <v>34687.646349999995</v>
      </c>
      <c r="D18" s="6">
        <f>WRC_BurrOak_annual!H56</f>
        <v>7529.2561983471078</v>
      </c>
      <c r="E18" s="6">
        <f>'C-BELOW'!N56</f>
        <v>35101</v>
      </c>
      <c r="F18" s="9">
        <f>LVKS_Out_AF!N56</f>
        <v>36662</v>
      </c>
      <c r="G18" s="8">
        <f t="shared" si="7"/>
        <v>0.82165304075246759</v>
      </c>
      <c r="H18" s="6">
        <f t="shared" si="0"/>
        <v>722.65271634752708</v>
      </c>
      <c r="I18" s="6">
        <f t="shared" si="1"/>
        <v>33964.99363365247</v>
      </c>
      <c r="J18" s="6">
        <f t="shared" si="2"/>
        <v>1136.0063663475303</v>
      </c>
      <c r="K18" s="9">
        <f t="shared" si="3"/>
        <v>1561</v>
      </c>
      <c r="L18" s="9"/>
      <c r="P18">
        <f t="shared" si="9"/>
        <v>2007</v>
      </c>
      <c r="Q18" s="9">
        <v>796.09729166666693</v>
      </c>
      <c r="R18" s="56">
        <v>0.71199733618416117</v>
      </c>
      <c r="S18" s="6">
        <v>130</v>
      </c>
      <c r="T18" s="6">
        <f t="shared" si="4"/>
        <v>592.65271634752708</v>
      </c>
      <c r="U18">
        <v>35960</v>
      </c>
      <c r="V18" s="6">
        <f t="shared" si="5"/>
        <v>1995.0063663475303</v>
      </c>
      <c r="W18">
        <v>34687</v>
      </c>
      <c r="X18" s="6">
        <f t="shared" si="6"/>
        <v>-0.64634999999543652</v>
      </c>
    </row>
    <row r="19" spans="1:24">
      <c r="A19">
        <f t="shared" si="8"/>
        <v>2008</v>
      </c>
      <c r="B19" s="6">
        <v>233.25541666666663</v>
      </c>
      <c r="C19" s="6">
        <f>'C-LOV'!N57</f>
        <v>7657</v>
      </c>
      <c r="D19" s="6">
        <f>WRC_BurrOak_annual!H57</f>
        <v>41233.983471074382</v>
      </c>
      <c r="E19" s="6">
        <f>'C-BELOW'!N57</f>
        <v>30016</v>
      </c>
      <c r="F19" s="9">
        <f>LVKS_Out_AF!N57</f>
        <v>82384</v>
      </c>
      <c r="G19" s="8">
        <f t="shared" si="7"/>
        <v>0.15661374462901015</v>
      </c>
      <c r="H19" s="6">
        <f t="shared" si="0"/>
        <v>36.531004259166686</v>
      </c>
      <c r="I19" s="6">
        <f t="shared" si="1"/>
        <v>7620.4689957408336</v>
      </c>
      <c r="J19" s="6">
        <f t="shared" si="2"/>
        <v>22395.531004259166</v>
      </c>
      <c r="K19" s="9">
        <f t="shared" si="3"/>
        <v>52368</v>
      </c>
      <c r="L19" s="9"/>
      <c r="P19">
        <f t="shared" si="9"/>
        <v>2008</v>
      </c>
      <c r="Q19" s="9">
        <v>447.88895833333345</v>
      </c>
      <c r="R19" s="56">
        <v>9.2420606285825824E-2</v>
      </c>
      <c r="S19" s="6">
        <v>10</v>
      </c>
      <c r="T19" s="6">
        <f t="shared" si="4"/>
        <v>26.531004259166686</v>
      </c>
      <c r="U19">
        <v>11280</v>
      </c>
      <c r="V19" s="6">
        <f t="shared" si="5"/>
        <v>3659.5310042591664</v>
      </c>
      <c r="W19">
        <v>7657</v>
      </c>
      <c r="X19" s="6">
        <f t="shared" si="6"/>
        <v>0</v>
      </c>
    </row>
    <row r="20" spans="1:24">
      <c r="A20">
        <f t="shared" si="8"/>
        <v>2009</v>
      </c>
      <c r="B20" s="6">
        <v>3008.2116250000004</v>
      </c>
      <c r="C20" s="6">
        <f>'C-LOV'!N58</f>
        <v>17608</v>
      </c>
      <c r="D20" s="6">
        <f>WRC_BurrOak_annual!H58</f>
        <v>10859.504132231405</v>
      </c>
      <c r="E20" s="6">
        <f>'C-BELOW'!N58</f>
        <v>35631</v>
      </c>
      <c r="F20" s="9">
        <f>LVKS_Out_AF!N58</f>
        <v>38799</v>
      </c>
      <c r="G20" s="8">
        <f t="shared" si="7"/>
        <v>0.61852981273703989</v>
      </c>
      <c r="H20" s="6">
        <f t="shared" si="0"/>
        <v>1860.6685730846366</v>
      </c>
      <c r="I20" s="6">
        <f t="shared" si="1"/>
        <v>15747.331426915363</v>
      </c>
      <c r="J20" s="6">
        <f t="shared" si="2"/>
        <v>19883.668573084637</v>
      </c>
      <c r="K20" s="9">
        <f t="shared" si="3"/>
        <v>3168</v>
      </c>
      <c r="L20" s="9"/>
      <c r="P20">
        <f t="shared" si="9"/>
        <v>2009</v>
      </c>
      <c r="Q20" s="9">
        <v>2915.840791666667</v>
      </c>
      <c r="R20" s="56">
        <v>0.52590800622846656</v>
      </c>
      <c r="S20" s="6">
        <v>130</v>
      </c>
      <c r="T20" s="6">
        <f t="shared" si="4"/>
        <v>1730.6685730846366</v>
      </c>
      <c r="U20">
        <v>12560</v>
      </c>
      <c r="V20" s="6">
        <f t="shared" si="5"/>
        <v>-3187.3314269153634</v>
      </c>
      <c r="W20">
        <v>13655</v>
      </c>
      <c r="X20" s="6">
        <f t="shared" si="6"/>
        <v>-3953</v>
      </c>
    </row>
    <row r="21" spans="1:24">
      <c r="A21">
        <f t="shared" si="8"/>
        <v>2010</v>
      </c>
      <c r="B21" s="59">
        <v>2336.2282083333334</v>
      </c>
      <c r="C21" s="6">
        <f>'C-LOV'!N59</f>
        <v>18030</v>
      </c>
      <c r="D21" s="6">
        <f>WRC_BurrOak_annual!H59</f>
        <v>28958.677685950413</v>
      </c>
      <c r="E21" s="6">
        <f>'C-BELOW'!N59</f>
        <v>38043</v>
      </c>
      <c r="F21" s="9">
        <f>LVKS_Out_AF!N59</f>
        <v>55104</v>
      </c>
      <c r="G21" s="8">
        <f t="shared" si="7"/>
        <v>0.38370945699948816</v>
      </c>
      <c r="H21" s="6">
        <f t="shared" si="0"/>
        <v>896.43285724647046</v>
      </c>
      <c r="I21" s="6">
        <f t="shared" si="1"/>
        <v>17133.567142753531</v>
      </c>
      <c r="J21" s="6">
        <f t="shared" si="2"/>
        <v>20909.432857246469</v>
      </c>
      <c r="K21" s="9">
        <f t="shared" si="3"/>
        <v>17061</v>
      </c>
      <c r="L21" s="9"/>
      <c r="P21">
        <f t="shared" si="9"/>
        <v>2010</v>
      </c>
      <c r="Q21" s="9">
        <v>2330.8201250000006</v>
      </c>
      <c r="R21" s="56">
        <v>0.31117420821615932</v>
      </c>
      <c r="S21" s="6">
        <v>330</v>
      </c>
      <c r="T21" s="6">
        <f t="shared" si="4"/>
        <v>566.43285724647046</v>
      </c>
      <c r="U21">
        <v>20410</v>
      </c>
      <c r="V21" s="6">
        <f t="shared" si="5"/>
        <v>3276.4328572464692</v>
      </c>
      <c r="W21">
        <v>18030</v>
      </c>
      <c r="X21" s="6">
        <f t="shared" si="6"/>
        <v>0</v>
      </c>
    </row>
    <row r="22" spans="1:24">
      <c r="A22">
        <f t="shared" si="8"/>
        <v>2011</v>
      </c>
      <c r="B22" s="6">
        <v>2099.0838750000003</v>
      </c>
      <c r="C22" s="6">
        <f>'C-LOV'!N60</f>
        <v>10316</v>
      </c>
      <c r="D22" s="6">
        <f>WRC_BurrOak_annual!H60</f>
        <v>55890.247933884297</v>
      </c>
      <c r="E22" s="6">
        <f>'C-BELOW'!N60</f>
        <v>36183</v>
      </c>
      <c r="F22" s="9">
        <f>LVKS_Out_AF!N60</f>
        <v>68792</v>
      </c>
      <c r="G22" s="8">
        <f t="shared" si="7"/>
        <v>0.15581610983757743</v>
      </c>
      <c r="H22" s="6">
        <f t="shared" si="0"/>
        <v>327.07108362528771</v>
      </c>
      <c r="I22" s="6">
        <f t="shared" si="1"/>
        <v>9988.9289163747126</v>
      </c>
      <c r="J22" s="6">
        <f t="shared" si="2"/>
        <v>26194.071083625287</v>
      </c>
      <c r="K22" s="9">
        <f t="shared" si="3"/>
        <v>32609</v>
      </c>
      <c r="L22" s="9"/>
      <c r="P22">
        <f t="shared" si="9"/>
        <v>2011</v>
      </c>
      <c r="Q22" s="9">
        <v>2356.2681249999996</v>
      </c>
      <c r="R22" s="56">
        <v>0.13568351825942351</v>
      </c>
      <c r="S22" s="6">
        <v>-160</v>
      </c>
      <c r="T22" s="6">
        <f t="shared" si="4"/>
        <v>487.07108362528771</v>
      </c>
      <c r="U22">
        <v>12710</v>
      </c>
      <c r="V22" s="6">
        <f t="shared" si="5"/>
        <v>2721.0710836252874</v>
      </c>
      <c r="W22">
        <v>10316</v>
      </c>
      <c r="X22" s="6">
        <f t="shared" si="6"/>
        <v>0</v>
      </c>
    </row>
    <row r="23" spans="1:24">
      <c r="A23">
        <f t="shared" si="8"/>
        <v>2012</v>
      </c>
      <c r="B23" s="6">
        <v>4598.1729583333336</v>
      </c>
      <c r="C23" s="6">
        <f>'C-LOV'!N61</f>
        <v>37353</v>
      </c>
      <c r="D23" s="6">
        <f>WRC_BurrOak_annual!H61</f>
        <v>6700.5223140495873</v>
      </c>
      <c r="E23" s="6">
        <f>'C-BELOW'!N61</f>
        <v>50078</v>
      </c>
      <c r="F23" s="9">
        <f>LVKS_Out_AF!N61</f>
        <v>50086.173684999987</v>
      </c>
      <c r="G23" s="8">
        <f t="shared" si="7"/>
        <v>0.84790041835286689</v>
      </c>
      <c r="H23" s="6">
        <f t="shared" si="0"/>
        <v>3898.7927750296731</v>
      </c>
      <c r="I23" s="6">
        <f t="shared" si="1"/>
        <v>33454.207224970327</v>
      </c>
      <c r="J23" s="6">
        <f t="shared" si="2"/>
        <v>16623.792775029673</v>
      </c>
      <c r="K23" s="9">
        <f t="shared" si="3"/>
        <v>8.1736849999870174</v>
      </c>
      <c r="L23" s="9"/>
      <c r="P23">
        <f t="shared" si="9"/>
        <v>2012</v>
      </c>
      <c r="Q23" s="9">
        <v>4598.1729583333336</v>
      </c>
      <c r="R23" s="56">
        <v>0.82400250340606529</v>
      </c>
      <c r="S23" s="6">
        <v>760</v>
      </c>
      <c r="T23" s="6">
        <f t="shared" si="4"/>
        <v>3138.7927750296731</v>
      </c>
      <c r="U23">
        <v>26840</v>
      </c>
      <c r="V23" s="6">
        <f t="shared" si="5"/>
        <v>-6614.2072249703269</v>
      </c>
      <c r="W23">
        <v>30341</v>
      </c>
      <c r="X23" s="6">
        <f t="shared" si="6"/>
        <v>-7012</v>
      </c>
    </row>
    <row r="24" spans="1:24">
      <c r="A24">
        <f t="shared" si="8"/>
        <v>2013</v>
      </c>
      <c r="B24" s="6">
        <v>1781.1726249999999</v>
      </c>
      <c r="C24" s="6">
        <f>'C-LOV'!N62</f>
        <v>38432</v>
      </c>
      <c r="D24" s="6">
        <f>WRC_BurrOak_annual!H62</f>
        <v>2222.5785123966944</v>
      </c>
      <c r="E24" s="6">
        <f>'C-BELOW'!N62</f>
        <v>40139</v>
      </c>
      <c r="F24" s="9">
        <f>LVKS_Out_AF!N62</f>
        <v>39340.299999999996</v>
      </c>
      <c r="G24" s="8">
        <f t="shared" si="7"/>
        <v>0.94533017943553477</v>
      </c>
      <c r="H24" s="6">
        <f t="shared" si="0"/>
        <v>1683.7962371969124</v>
      </c>
      <c r="I24" s="6">
        <f t="shared" si="1"/>
        <v>36748.203762803088</v>
      </c>
      <c r="J24" s="6">
        <f t="shared" si="2"/>
        <v>3390.7962371969115</v>
      </c>
      <c r="K24" s="9">
        <f t="shared" si="3"/>
        <v>0</v>
      </c>
      <c r="L24" s="9"/>
      <c r="P24">
        <f t="shared" si="9"/>
        <v>2013</v>
      </c>
      <c r="Q24" s="9">
        <v>1781.1726250000004</v>
      </c>
      <c r="R24" s="56">
        <v>0.93667653683189933</v>
      </c>
      <c r="S24" s="6">
        <v>800</v>
      </c>
      <c r="T24" s="6">
        <f t="shared" si="4"/>
        <v>883.79623719691244</v>
      </c>
      <c r="U24">
        <v>37250</v>
      </c>
      <c r="V24" s="6">
        <f t="shared" si="5"/>
        <v>501.79623719691153</v>
      </c>
      <c r="W24">
        <v>15461</v>
      </c>
      <c r="X24" s="6">
        <f t="shared" si="6"/>
        <v>-22971</v>
      </c>
    </row>
    <row r="25" spans="1:24">
      <c r="A25">
        <f t="shared" si="8"/>
        <v>2014</v>
      </c>
      <c r="B25" s="6">
        <v>2656.867541666667</v>
      </c>
      <c r="C25" s="6">
        <f>'C-LOV'!N63</f>
        <v>36450</v>
      </c>
      <c r="D25" s="6">
        <f>WRC_BurrOak_annual!H63</f>
        <v>5813.454545454545</v>
      </c>
      <c r="E25" s="6">
        <f>'C-BELOW'!N63</f>
        <v>32108</v>
      </c>
      <c r="F25" s="9">
        <f>LVKS_Out_AF!N63</f>
        <v>32272</v>
      </c>
      <c r="G25" s="8">
        <f t="shared" si="7"/>
        <v>0.86244724649277904</v>
      </c>
      <c r="H25" s="6">
        <f t="shared" si="0"/>
        <v>2291.4080956064558</v>
      </c>
      <c r="I25" s="6">
        <f t="shared" si="1"/>
        <v>32108</v>
      </c>
      <c r="J25" s="6">
        <f t="shared" si="2"/>
        <v>0</v>
      </c>
      <c r="K25" s="9">
        <f t="shared" si="3"/>
        <v>164</v>
      </c>
      <c r="L25" s="9"/>
      <c r="P25">
        <f t="shared" si="9"/>
        <v>2014</v>
      </c>
      <c r="Q25" s="9">
        <v>2656.8675416666661</v>
      </c>
      <c r="R25" s="56">
        <v>0.86675373353898255</v>
      </c>
      <c r="S25" s="6">
        <v>1380</v>
      </c>
      <c r="T25" s="6">
        <f t="shared" si="4"/>
        <v>911.40809560645584</v>
      </c>
      <c r="U25">
        <v>32108</v>
      </c>
      <c r="V25" s="6">
        <f t="shared" si="5"/>
        <v>0</v>
      </c>
      <c r="W25">
        <v>34061</v>
      </c>
      <c r="X25" s="6">
        <f t="shared" si="6"/>
        <v>-2389</v>
      </c>
    </row>
    <row r="26" spans="1:24">
      <c r="A26">
        <f t="shared" si="8"/>
        <v>2015</v>
      </c>
      <c r="B26" s="6">
        <v>301.39516666666657</v>
      </c>
      <c r="C26" s="6">
        <f>'C-LOV'!N64</f>
        <v>30533</v>
      </c>
      <c r="D26" s="6">
        <f>WRC_BurrOak_annual!H64</f>
        <v>15130.90909090909</v>
      </c>
      <c r="E26" s="6">
        <f>'C-BELOW'!N64</f>
        <v>31544</v>
      </c>
      <c r="F26" s="9">
        <f>LVKS_Out_AF!N64</f>
        <v>58073</v>
      </c>
      <c r="G26" s="8">
        <f t="shared" si="7"/>
        <v>0.66864621553126302</v>
      </c>
      <c r="H26" s="6">
        <f t="shared" si="0"/>
        <v>201.52673757108087</v>
      </c>
      <c r="I26" s="6">
        <f t="shared" si="1"/>
        <v>30331.473262428921</v>
      </c>
      <c r="J26" s="6">
        <f t="shared" si="2"/>
        <v>1212.5267375710791</v>
      </c>
      <c r="K26" s="9">
        <f t="shared" si="3"/>
        <v>26529</v>
      </c>
      <c r="L26" s="9"/>
      <c r="P26">
        <f t="shared" si="9"/>
        <v>2015</v>
      </c>
      <c r="Q26" s="9">
        <v>301.39516666666611</v>
      </c>
      <c r="R26" s="56">
        <v>0.48457852863429191</v>
      </c>
      <c r="S26" s="6">
        <v>300</v>
      </c>
      <c r="T26" s="6">
        <f t="shared" si="4"/>
        <v>-98.473262428919128</v>
      </c>
      <c r="U26">
        <v>31544</v>
      </c>
      <c r="V26" s="6">
        <f t="shared" si="5"/>
        <v>1212.5267375710791</v>
      </c>
      <c r="W26">
        <v>12731</v>
      </c>
      <c r="X26" s="6">
        <f t="shared" si="6"/>
        <v>-17802</v>
      </c>
    </row>
    <row r="27" spans="1:24">
      <c r="A27">
        <f t="shared" si="8"/>
        <v>2016</v>
      </c>
      <c r="B27" s="6">
        <v>1532.2242499999998</v>
      </c>
      <c r="C27" s="6">
        <f>'C-LOV'!N65</f>
        <v>15798</v>
      </c>
      <c r="D27" s="6">
        <f>WRC_BurrOak_annual!H65</f>
        <v>10308.495867768595</v>
      </c>
      <c r="E27" s="6">
        <f>'C-BELOW'!N65</f>
        <v>28871</v>
      </c>
      <c r="F27" s="9">
        <f>LVKS_Out_AF!N65</f>
        <v>35400</v>
      </c>
      <c r="G27" s="8">
        <f t="shared" si="7"/>
        <v>0.6051367475749363</v>
      </c>
      <c r="H27" s="6">
        <f t="shared" si="0"/>
        <v>927.20519920044592</v>
      </c>
      <c r="I27" s="6">
        <f t="shared" si="1"/>
        <v>14870.794800799555</v>
      </c>
      <c r="J27" s="6">
        <f t="shared" si="2"/>
        <v>14000.205199200445</v>
      </c>
      <c r="K27" s="9">
        <f t="shared" si="3"/>
        <v>6529</v>
      </c>
      <c r="L27" s="9"/>
      <c r="P27">
        <f t="shared" si="9"/>
        <v>2016</v>
      </c>
      <c r="Q27" s="9">
        <v>1507.6450833333333</v>
      </c>
      <c r="R27" s="56">
        <v>0.41546520348414034</v>
      </c>
      <c r="S27" s="6">
        <v>-40</v>
      </c>
      <c r="T27" s="6">
        <f t="shared" si="4"/>
        <v>967.20519920044592</v>
      </c>
      <c r="U27">
        <v>31544</v>
      </c>
      <c r="V27" s="6">
        <f t="shared" si="5"/>
        <v>16673.205199200445</v>
      </c>
      <c r="W27">
        <v>15798</v>
      </c>
      <c r="X27" s="6">
        <f t="shared" si="6"/>
        <v>0</v>
      </c>
    </row>
    <row r="28" spans="1:24">
      <c r="A28">
        <f t="shared" si="8"/>
        <v>2017</v>
      </c>
      <c r="B28" s="6">
        <v>4304.91</v>
      </c>
      <c r="C28" s="6">
        <f>'C-LOV'!N66</f>
        <v>28120</v>
      </c>
      <c r="D28" s="6">
        <f>WRC_BurrOak_annual!H66</f>
        <v>18533.553719008265</v>
      </c>
      <c r="E28" s="6">
        <f>'C-BELOW'!N66</f>
        <v>38000</v>
      </c>
      <c r="F28" s="9">
        <f>LVKS_Out_AF!N66</f>
        <v>49747</v>
      </c>
      <c r="G28" s="8">
        <f t="shared" si="7"/>
        <v>0.60274079375314427</v>
      </c>
      <c r="H28" s="6">
        <f t="shared" si="0"/>
        <v>2594.744870435848</v>
      </c>
      <c r="I28" s="6">
        <f t="shared" si="1"/>
        <v>25525.255129564153</v>
      </c>
      <c r="J28" s="6">
        <f t="shared" si="2"/>
        <v>12474.744870435847</v>
      </c>
      <c r="K28" s="9">
        <f t="shared" si="3"/>
        <v>11747</v>
      </c>
      <c r="L28" s="9"/>
      <c r="P28">
        <f t="shared" si="9"/>
        <v>2017</v>
      </c>
      <c r="Q28">
        <v>4310</v>
      </c>
      <c r="R28" s="56">
        <v>0.50020456445559169</v>
      </c>
      <c r="S28" s="6">
        <v>300</v>
      </c>
      <c r="T28" s="6">
        <f t="shared" si="4"/>
        <v>2294.744870435848</v>
      </c>
      <c r="U28">
        <v>31544</v>
      </c>
      <c r="V28" s="6">
        <f t="shared" si="5"/>
        <v>6018.7448704358467</v>
      </c>
    </row>
    <row r="29" spans="1:24">
      <c r="A29">
        <f t="shared" si="8"/>
        <v>2018</v>
      </c>
      <c r="B29" s="6"/>
      <c r="C29" s="6"/>
      <c r="D29" s="6"/>
      <c r="E29" s="6"/>
      <c r="F29" s="6"/>
      <c r="G29" s="8"/>
      <c r="H29" s="6"/>
      <c r="I29" s="6"/>
      <c r="L29" s="9"/>
    </row>
    <row r="30" spans="1:24">
      <c r="A30">
        <f t="shared" si="8"/>
        <v>2019</v>
      </c>
      <c r="B30" s="6"/>
      <c r="C30" s="6"/>
      <c r="D30" s="6"/>
      <c r="E30" s="6"/>
      <c r="F30" s="6"/>
      <c r="G30" s="8"/>
      <c r="H30" s="6"/>
      <c r="I30" s="6">
        <f>AVERAGE(I11:I27)</f>
        <v>26364.227932432936</v>
      </c>
      <c r="K30" s="6"/>
      <c r="L30" s="9"/>
      <c r="S30" s="6">
        <f>AVERAGE(S11:S27)</f>
        <v>908.17823185964005</v>
      </c>
      <c r="U30" s="6">
        <f>AVERAGE(U11:U27)</f>
        <v>26606.588235294119</v>
      </c>
      <c r="W30" s="6">
        <f>AVERAGE(W11:W27)</f>
        <v>25046.353352941176</v>
      </c>
    </row>
    <row r="31" spans="1:24">
      <c r="A31">
        <f t="shared" si="8"/>
        <v>2020</v>
      </c>
      <c r="B31" s="6"/>
      <c r="C31" s="6"/>
      <c r="D31" s="6"/>
      <c r="E31" s="6"/>
      <c r="F31" s="6"/>
      <c r="G31" s="8"/>
      <c r="H31" s="6"/>
      <c r="I31" s="6"/>
      <c r="L31" s="9"/>
    </row>
    <row r="32" spans="1:24">
      <c r="B32" s="6"/>
      <c r="C32" s="6"/>
      <c r="D32" s="6"/>
      <c r="E32" s="6"/>
      <c r="F32" s="6"/>
      <c r="G32" s="8"/>
      <c r="H32" s="6"/>
      <c r="I32" s="6"/>
      <c r="L32" s="9"/>
    </row>
    <row r="33" spans="1:28">
      <c r="A33" s="10" t="s">
        <v>134</v>
      </c>
      <c r="B33" s="6"/>
      <c r="C33" s="6">
        <f>AVERAGE(C11:C27)</f>
        <v>28499.401020588237</v>
      </c>
      <c r="D33" s="6">
        <f>AVERAGE(D11:D27)</f>
        <v>13310.551677199806</v>
      </c>
      <c r="E33" s="6"/>
      <c r="F33" s="6">
        <f>AVERAGE(F11:F27)</f>
        <v>46926.96904029412</v>
      </c>
      <c r="G33" s="8">
        <f>C33/(C33+ref!$F$9*D33)</f>
        <v>0.58485390602817688</v>
      </c>
      <c r="H33" s="6">
        <f>AVERAGE(H11:H27)</f>
        <v>1574.7346083335806</v>
      </c>
      <c r="I33" s="6">
        <f>AVERAGE(I11:I27)</f>
        <v>26364.227932432936</v>
      </c>
      <c r="J33" s="6">
        <f t="shared" ref="J33:K33" si="10">AVERAGE(J11:J27)</f>
        <v>10916.183832272951</v>
      </c>
      <c r="K33" s="6">
        <f t="shared" si="10"/>
        <v>9719.5984520588227</v>
      </c>
      <c r="L33" s="6"/>
      <c r="S33" s="6"/>
      <c r="U33" s="6"/>
      <c r="W33" s="6"/>
    </row>
    <row r="34" spans="1:28">
      <c r="B34" s="6"/>
      <c r="C34" s="6"/>
      <c r="D34" s="6"/>
      <c r="E34" s="6"/>
      <c r="F34" s="6"/>
      <c r="G34" s="8"/>
      <c r="H34" s="6"/>
      <c r="I34" s="56"/>
      <c r="J34" s="56"/>
      <c r="K34" s="56"/>
      <c r="L34" s="56"/>
    </row>
    <row r="35" spans="1:28">
      <c r="C35" t="s">
        <v>29</v>
      </c>
      <c r="Q35" s="69" t="s">
        <v>207</v>
      </c>
      <c r="T35" s="6"/>
    </row>
    <row r="36" spans="1:28">
      <c r="C36" s="10" t="s">
        <v>202</v>
      </c>
      <c r="Q36" s="69" t="s">
        <v>181</v>
      </c>
      <c r="R36" s="10" t="s">
        <v>212</v>
      </c>
      <c r="S36" s="72" t="s">
        <v>188</v>
      </c>
    </row>
    <row r="37" spans="1:28">
      <c r="C37" s="10" t="s">
        <v>203</v>
      </c>
      <c r="Q37" s="69" t="s">
        <v>182</v>
      </c>
      <c r="R37" s="10" t="s">
        <v>184</v>
      </c>
      <c r="S37" s="86" t="s">
        <v>187</v>
      </c>
    </row>
    <row r="38" spans="1:28">
      <c r="C38" s="10" t="s">
        <v>204</v>
      </c>
      <c r="I38" s="60" t="str">
        <f>"Republican River CBCU for Lovewell net evaporation and diversion to Courtland Canal below Lovewell"</f>
        <v>Republican River CBCU for Lovewell net evaporation and diversion to Courtland Canal below Lovewell</v>
      </c>
      <c r="Q38" s="69" t="s">
        <v>183</v>
      </c>
      <c r="R38" s="10" t="s">
        <v>185</v>
      </c>
      <c r="S38" s="87" t="s">
        <v>186</v>
      </c>
    </row>
    <row r="39" spans="1:28">
      <c r="C39" s="10" t="s">
        <v>205</v>
      </c>
    </row>
    <row r="40" spans="1:28">
      <c r="P40" s="10" t="str">
        <f>"Net evaporation charged to Republican River by original methods and by simplified annual inflow split"</f>
        <v>Net evaporation charged to Republican River by original methods and by simplified annual inflow split</v>
      </c>
    </row>
    <row r="42" spans="1:28">
      <c r="B42" t="s">
        <v>30</v>
      </c>
      <c r="D42" t="s">
        <v>33</v>
      </c>
      <c r="F42" t="s">
        <v>36</v>
      </c>
      <c r="AA42">
        <v>61</v>
      </c>
      <c r="AB42" s="10" t="s">
        <v>200</v>
      </c>
    </row>
    <row r="43" spans="1:28">
      <c r="B43" t="s">
        <v>38</v>
      </c>
      <c r="F43" t="s">
        <v>37</v>
      </c>
      <c r="AA43">
        <v>60</v>
      </c>
      <c r="AB43" s="10" t="s">
        <v>201</v>
      </c>
    </row>
    <row r="44" spans="1:28">
      <c r="C44" t="s">
        <v>31</v>
      </c>
      <c r="E44" t="s">
        <v>34</v>
      </c>
      <c r="AA44">
        <f>AA42/AA43</f>
        <v>1.0166666666666666</v>
      </c>
      <c r="AB44" s="10" t="s">
        <v>198</v>
      </c>
    </row>
    <row r="45" spans="1:28">
      <c r="C45" t="s">
        <v>32</v>
      </c>
      <c r="E45" t="s">
        <v>35</v>
      </c>
      <c r="AA45">
        <v>20</v>
      </c>
      <c r="AB45" s="10" t="s">
        <v>197</v>
      </c>
    </row>
    <row r="46" spans="1:28">
      <c r="AA46">
        <f>AA45/AA44</f>
        <v>19.672131147540984</v>
      </c>
      <c r="AB46" s="10" t="s">
        <v>199</v>
      </c>
    </row>
    <row r="48" spans="1:28">
      <c r="C48">
        <f>1.6/329</f>
        <v>4.8632218844984806E-3</v>
      </c>
    </row>
    <row r="51" spans="1:8">
      <c r="B51" s="10" t="s">
        <v>146</v>
      </c>
      <c r="D51" s="10" t="s">
        <v>145</v>
      </c>
    </row>
    <row r="54" spans="1:8">
      <c r="B54" s="10" t="s">
        <v>147</v>
      </c>
    </row>
    <row r="55" spans="1:8" ht="24.75" customHeight="1">
      <c r="A55" s="84" t="s">
        <v>156</v>
      </c>
      <c r="B55" s="88" t="s">
        <v>195</v>
      </c>
      <c r="C55" s="89"/>
      <c r="D55" s="85" t="s">
        <v>116</v>
      </c>
      <c r="E55" s="92" t="s">
        <v>206</v>
      </c>
      <c r="F55" s="92"/>
      <c r="G55" s="83"/>
      <c r="H55" s="83"/>
    </row>
    <row r="56" spans="1:8">
      <c r="A56" s="67"/>
      <c r="B56" s="61" t="s">
        <v>144</v>
      </c>
      <c r="C56" s="61" t="s">
        <v>4</v>
      </c>
      <c r="E56" s="76" t="s">
        <v>144</v>
      </c>
      <c r="F56" s="76" t="s">
        <v>4</v>
      </c>
      <c r="G56" s="79"/>
      <c r="H56" s="79"/>
    </row>
    <row r="57" spans="1:8">
      <c r="A57" s="66" t="s">
        <v>196</v>
      </c>
      <c r="B57" s="68">
        <f>C33</f>
        <v>28499.401020588237</v>
      </c>
      <c r="C57" s="68">
        <f>D33</f>
        <v>13310.551677199806</v>
      </c>
      <c r="D57" s="62">
        <v>1587.1407569573662</v>
      </c>
      <c r="E57" s="62">
        <v>26360.167832526266</v>
      </c>
      <c r="F57" s="62">
        <v>10960.221056362627</v>
      </c>
      <c r="G57" s="81"/>
      <c r="H57" s="81"/>
    </row>
    <row r="58" spans="1:8">
      <c r="A58" s="66" t="s">
        <v>155</v>
      </c>
      <c r="B58" s="63">
        <f>C33/($C33+$D33)</f>
        <v>0.6816415513930012</v>
      </c>
      <c r="C58" s="63">
        <f>D33/($C33+$D33)</f>
        <v>0.3183584486069988</v>
      </c>
      <c r="D58" s="67"/>
      <c r="E58" s="63">
        <v>0.70632082401408935</v>
      </c>
      <c r="F58" s="63">
        <v>0.2936791759859107</v>
      </c>
      <c r="G58" s="82"/>
      <c r="H58" s="82"/>
    </row>
    <row r="60" spans="1:8">
      <c r="A60" s="77"/>
      <c r="B60" s="78"/>
      <c r="C60" s="77"/>
      <c r="D60" s="77"/>
      <c r="E60" s="78"/>
      <c r="F60" s="77"/>
      <c r="G60" s="77"/>
      <c r="H60" s="77"/>
    </row>
    <row r="61" spans="1:8">
      <c r="A61" s="78"/>
      <c r="B61" s="90"/>
      <c r="C61" s="91"/>
      <c r="D61" s="78"/>
      <c r="E61" s="90"/>
      <c r="F61" s="91"/>
      <c r="G61" s="91"/>
      <c r="H61" s="91"/>
    </row>
    <row r="62" spans="1:8">
      <c r="A62" s="78"/>
      <c r="B62" s="79"/>
      <c r="C62" s="79"/>
      <c r="D62" s="78"/>
      <c r="E62" s="79"/>
      <c r="F62" s="79"/>
      <c r="G62" s="79"/>
      <c r="H62" s="79"/>
    </row>
    <row r="63" spans="1:8">
      <c r="A63" s="78"/>
      <c r="B63" s="80"/>
      <c r="C63" s="80"/>
      <c r="D63" s="81"/>
      <c r="E63" s="81"/>
      <c r="F63" s="81"/>
      <c r="G63" s="81"/>
      <c r="H63" s="81"/>
    </row>
    <row r="64" spans="1:8">
      <c r="A64" s="78"/>
      <c r="B64" s="82"/>
      <c r="C64" s="82"/>
      <c r="D64" s="77"/>
      <c r="E64" s="82"/>
      <c r="F64" s="82"/>
      <c r="G64" s="82"/>
      <c r="H64" s="82"/>
    </row>
    <row r="65" spans="4:16">
      <c r="H65">
        <v>1</v>
      </c>
      <c r="I65" s="10" t="s">
        <v>192</v>
      </c>
      <c r="P65" t="str">
        <f>"Republican River diversion to lower Bostwick district by original methods and simplified annual inflow split (A2/A1 = "&amp;ROUND(G5,2)&amp;")"</f>
        <v>Republican River diversion to lower Bostwick district by original methods and simplified annual inflow split (A2/A1 = 1)</v>
      </c>
    </row>
    <row r="66" spans="4:16">
      <c r="D66" s="67"/>
      <c r="E66" s="9"/>
      <c r="H66">
        <v>2</v>
      </c>
      <c r="I66" s="10" t="s">
        <v>143</v>
      </c>
    </row>
    <row r="67" spans="4:16">
      <c r="H67">
        <v>3</v>
      </c>
      <c r="I67" s="10" t="s">
        <v>191</v>
      </c>
    </row>
    <row r="68" spans="4:16">
      <c r="H68">
        <v>4</v>
      </c>
      <c r="I68" s="10" t="s">
        <v>194</v>
      </c>
    </row>
    <row r="69" spans="4:16">
      <c r="H69">
        <v>5</v>
      </c>
      <c r="I69" s="10" t="s">
        <v>193</v>
      </c>
    </row>
    <row r="70" spans="4:16">
      <c r="I70" s="10"/>
    </row>
  </sheetData>
  <mergeCells count="4">
    <mergeCell ref="B55:C55"/>
    <mergeCell ref="B61:C61"/>
    <mergeCell ref="E61:H61"/>
    <mergeCell ref="E55:F55"/>
  </mergeCells>
  <phoneticPr fontId="1" type="noConversion"/>
  <pageMargins left="0.75" right="0.75" top="1" bottom="1" header="0.5" footer="0.5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P5" sqref="P5"/>
    </sheetView>
  </sheetViews>
  <sheetFormatPr defaultRowHeight="12.7"/>
  <sheetData>
    <row r="1" spans="1:16">
      <c r="O1">
        <f>24*3600</f>
        <v>86400</v>
      </c>
      <c r="P1" s="10" t="s">
        <v>40</v>
      </c>
    </row>
    <row r="2" spans="1:16">
      <c r="O2">
        <f>5280^2/640</f>
        <v>43560</v>
      </c>
      <c r="P2" s="10" t="s">
        <v>151</v>
      </c>
    </row>
    <row r="3" spans="1:16">
      <c r="I3" t="s">
        <v>158</v>
      </c>
      <c r="O3">
        <f>O1/O2</f>
        <v>1.9834710743801653</v>
      </c>
      <c r="P3" s="10" t="s">
        <v>44</v>
      </c>
    </row>
    <row r="4" spans="1:16">
      <c r="H4" t="s">
        <v>44</v>
      </c>
      <c r="I4" t="s">
        <v>157</v>
      </c>
      <c r="O4" s="44" t="s">
        <v>154</v>
      </c>
      <c r="P4" s="65" t="s">
        <v>163</v>
      </c>
    </row>
    <row r="5" spans="1:16">
      <c r="A5" s="14" t="s">
        <v>63</v>
      </c>
      <c r="B5" t="s">
        <v>64</v>
      </c>
      <c r="C5" t="s">
        <v>65</v>
      </c>
      <c r="D5" t="s">
        <v>66</v>
      </c>
      <c r="E5" t="s">
        <v>67</v>
      </c>
      <c r="F5" t="s">
        <v>68</v>
      </c>
      <c r="H5">
        <v>1.9834710743801653</v>
      </c>
      <c r="I5" t="s">
        <v>20</v>
      </c>
      <c r="K5" s="14" t="s">
        <v>69</v>
      </c>
      <c r="P5" s="10" t="s">
        <v>164</v>
      </c>
    </row>
    <row r="6" spans="1:16">
      <c r="A6" s="14" t="s">
        <v>70</v>
      </c>
      <c r="B6" t="s">
        <v>71</v>
      </c>
      <c r="C6" t="s">
        <v>70</v>
      </c>
      <c r="D6" t="s">
        <v>72</v>
      </c>
      <c r="E6" t="s">
        <v>73</v>
      </c>
      <c r="F6" t="s">
        <v>74</v>
      </c>
      <c r="G6" t="s">
        <v>75</v>
      </c>
      <c r="H6" t="s">
        <v>76</v>
      </c>
      <c r="I6" t="s">
        <v>76</v>
      </c>
      <c r="J6" t="s">
        <v>159</v>
      </c>
      <c r="K6" s="14" t="s">
        <v>69</v>
      </c>
    </row>
    <row r="7" spans="1:16">
      <c r="A7" s="14" t="s">
        <v>25</v>
      </c>
      <c r="B7">
        <v>6853800</v>
      </c>
      <c r="C7">
        <v>60</v>
      </c>
      <c r="D7">
        <v>54716</v>
      </c>
      <c r="E7">
        <v>1958</v>
      </c>
      <c r="F7">
        <v>14.9</v>
      </c>
      <c r="G7">
        <f>365+IF(MOD(E7,4)=0,1,0)</f>
        <v>365</v>
      </c>
      <c r="H7" s="15">
        <f>F7*G7*$H$5</f>
        <v>10787.10743801653</v>
      </c>
      <c r="I7" s="15">
        <f>WRC_BurrOak_monthly!N7</f>
        <v>10778.652892561984</v>
      </c>
      <c r="J7" s="15">
        <f>I7-H7</f>
        <v>-8.4545454545459506</v>
      </c>
      <c r="K7" s="14" t="s">
        <v>77</v>
      </c>
    </row>
    <row r="8" spans="1:16">
      <c r="A8" s="14" t="s">
        <v>25</v>
      </c>
      <c r="B8">
        <v>6853800</v>
      </c>
      <c r="C8">
        <v>60</v>
      </c>
      <c r="D8">
        <v>54716</v>
      </c>
      <c r="E8">
        <v>1959</v>
      </c>
      <c r="F8">
        <v>19.600000000000001</v>
      </c>
      <c r="G8">
        <f t="shared" ref="G8:G66" si="0">365+IF(MOD(E8,4)=0,1,0)</f>
        <v>365</v>
      </c>
      <c r="H8" s="15">
        <f t="shared" ref="H8:H66" si="1">F8*G8*$H$5</f>
        <v>14189.752066115705</v>
      </c>
      <c r="I8" s="15">
        <f>WRC_BurrOak_monthly!N8</f>
        <v>14221.441983471077</v>
      </c>
      <c r="J8" s="15">
        <f t="shared" ref="J8:J66" si="2">I8-H8</f>
        <v>31.689917355372017</v>
      </c>
      <c r="K8" s="14" t="s">
        <v>160</v>
      </c>
    </row>
    <row r="9" spans="1:16">
      <c r="A9" s="14" t="s">
        <v>25</v>
      </c>
      <c r="B9">
        <v>6853800</v>
      </c>
      <c r="C9">
        <v>60</v>
      </c>
      <c r="D9">
        <v>54716</v>
      </c>
      <c r="E9">
        <v>1960</v>
      </c>
      <c r="F9">
        <v>40</v>
      </c>
      <c r="G9">
        <f t="shared" si="0"/>
        <v>366</v>
      </c>
      <c r="H9" s="15">
        <f t="shared" si="1"/>
        <v>29038.016528925622</v>
      </c>
      <c r="I9" s="15">
        <f>WRC_BurrOak_monthly!N9</f>
        <v>29050.36363636364</v>
      </c>
      <c r="J9" s="15">
        <f t="shared" si="2"/>
        <v>12.347107438017701</v>
      </c>
      <c r="K9" s="14" t="s">
        <v>69</v>
      </c>
    </row>
    <row r="10" spans="1:16">
      <c r="A10" s="14" t="s">
        <v>25</v>
      </c>
      <c r="B10">
        <v>6853800</v>
      </c>
      <c r="C10">
        <v>60</v>
      </c>
      <c r="D10">
        <v>54716</v>
      </c>
      <c r="E10">
        <v>1961</v>
      </c>
      <c r="F10">
        <v>43.8</v>
      </c>
      <c r="G10">
        <f t="shared" si="0"/>
        <v>365</v>
      </c>
      <c r="H10" s="15">
        <f t="shared" si="1"/>
        <v>31709.7520661157</v>
      </c>
      <c r="I10" s="15">
        <f>WRC_BurrOak_monthly!N10</f>
        <v>31659.530578512393</v>
      </c>
      <c r="J10" s="15">
        <f t="shared" si="2"/>
        <v>-50.221487603306741</v>
      </c>
      <c r="K10" s="14" t="s">
        <v>78</v>
      </c>
    </row>
    <row r="11" spans="1:16">
      <c r="A11" s="14" t="s">
        <v>25</v>
      </c>
      <c r="B11">
        <v>6853800</v>
      </c>
      <c r="C11">
        <v>60</v>
      </c>
      <c r="D11">
        <v>54716</v>
      </c>
      <c r="E11">
        <v>1962</v>
      </c>
      <c r="F11">
        <v>48.2</v>
      </c>
      <c r="G11">
        <f t="shared" si="0"/>
        <v>365</v>
      </c>
      <c r="H11" s="15">
        <f t="shared" si="1"/>
        <v>34895.206611570247</v>
      </c>
      <c r="I11" s="15">
        <f>WRC_BurrOak_monthly!N11</f>
        <v>34893.252892561992</v>
      </c>
      <c r="J11" s="15">
        <f t="shared" si="2"/>
        <v>-1.9537190082555753</v>
      </c>
      <c r="K11" s="14" t="s">
        <v>69</v>
      </c>
    </row>
    <row r="12" spans="1:16">
      <c r="A12" s="14" t="s">
        <v>25</v>
      </c>
      <c r="B12">
        <v>6853800</v>
      </c>
      <c r="C12">
        <v>60</v>
      </c>
      <c r="D12">
        <v>54716</v>
      </c>
      <c r="E12">
        <v>1963</v>
      </c>
      <c r="F12">
        <v>27.6</v>
      </c>
      <c r="G12">
        <f t="shared" si="0"/>
        <v>365</v>
      </c>
      <c r="H12" s="15">
        <f t="shared" si="1"/>
        <v>19981.487603305784</v>
      </c>
      <c r="I12" s="15">
        <f>WRC_BurrOak_monthly!N12</f>
        <v>20006.404958677685</v>
      </c>
      <c r="J12" s="15">
        <f t="shared" si="2"/>
        <v>24.917355371901067</v>
      </c>
      <c r="K12" s="14" t="s">
        <v>79</v>
      </c>
    </row>
    <row r="13" spans="1:16">
      <c r="A13" s="14" t="s">
        <v>25</v>
      </c>
      <c r="B13">
        <v>6853800</v>
      </c>
      <c r="C13">
        <v>60</v>
      </c>
      <c r="D13">
        <v>54716</v>
      </c>
      <c r="E13">
        <v>1964</v>
      </c>
      <c r="F13">
        <v>7.66</v>
      </c>
      <c r="G13">
        <f t="shared" si="0"/>
        <v>366</v>
      </c>
      <c r="H13" s="15">
        <f t="shared" si="1"/>
        <v>5560.7801652892558</v>
      </c>
      <c r="I13" s="15">
        <f>WRC_BurrOak_monthly!N13</f>
        <v>5552.5041322314046</v>
      </c>
      <c r="J13" s="15">
        <f t="shared" si="2"/>
        <v>-8.2760330578512367</v>
      </c>
      <c r="K13" s="14" t="s">
        <v>80</v>
      </c>
    </row>
    <row r="14" spans="1:16">
      <c r="A14" s="14" t="s">
        <v>25</v>
      </c>
      <c r="B14">
        <v>6853800</v>
      </c>
      <c r="C14">
        <v>60</v>
      </c>
      <c r="D14">
        <v>54716</v>
      </c>
      <c r="E14">
        <v>1965</v>
      </c>
      <c r="F14">
        <v>53.3</v>
      </c>
      <c r="G14">
        <f t="shared" si="0"/>
        <v>365</v>
      </c>
      <c r="H14" s="15">
        <f t="shared" si="1"/>
        <v>38587.438016528926</v>
      </c>
      <c r="I14" s="15">
        <f>WRC_BurrOak_monthly!N14</f>
        <v>38657.157024793392</v>
      </c>
      <c r="J14" s="15">
        <f t="shared" si="2"/>
        <v>69.719008264466538</v>
      </c>
      <c r="K14" s="14" t="s">
        <v>81</v>
      </c>
    </row>
    <row r="15" spans="1:16">
      <c r="A15" s="14" t="s">
        <v>25</v>
      </c>
      <c r="B15">
        <v>6853800</v>
      </c>
      <c r="C15">
        <v>60</v>
      </c>
      <c r="D15">
        <v>54716</v>
      </c>
      <c r="E15">
        <v>1966</v>
      </c>
      <c r="F15">
        <v>5.75</v>
      </c>
      <c r="G15">
        <f t="shared" si="0"/>
        <v>365</v>
      </c>
      <c r="H15" s="15">
        <f t="shared" si="1"/>
        <v>4162.8099173553719</v>
      </c>
      <c r="I15" s="15">
        <f>WRC_BurrOak_monthly!N15</f>
        <v>4175.1768595041331</v>
      </c>
      <c r="J15" s="15">
        <f t="shared" si="2"/>
        <v>12.366942148761154</v>
      </c>
      <c r="K15" s="14" t="s">
        <v>69</v>
      </c>
    </row>
    <row r="16" spans="1:16">
      <c r="A16" s="14" t="s">
        <v>25</v>
      </c>
      <c r="B16">
        <v>6853800</v>
      </c>
      <c r="C16">
        <v>60</v>
      </c>
      <c r="D16">
        <v>54716</v>
      </c>
      <c r="E16">
        <v>1967</v>
      </c>
      <c r="F16">
        <v>16.3</v>
      </c>
      <c r="G16">
        <f t="shared" si="0"/>
        <v>365</v>
      </c>
      <c r="H16" s="15">
        <f t="shared" si="1"/>
        <v>11800.661157024793</v>
      </c>
      <c r="I16" s="15">
        <f>WRC_BurrOak_monthly!N16</f>
        <v>11765.390082644626</v>
      </c>
      <c r="J16" s="15">
        <f t="shared" si="2"/>
        <v>-35.271074380167192</v>
      </c>
      <c r="K16" s="14" t="s">
        <v>161</v>
      </c>
    </row>
    <row r="17" spans="1:11">
      <c r="A17" s="14" t="s">
        <v>25</v>
      </c>
      <c r="B17">
        <v>6853800</v>
      </c>
      <c r="C17">
        <v>60</v>
      </c>
      <c r="D17">
        <v>54716</v>
      </c>
      <c r="E17">
        <v>1968</v>
      </c>
      <c r="F17">
        <v>6.61</v>
      </c>
      <c r="G17">
        <f t="shared" si="0"/>
        <v>366</v>
      </c>
      <c r="H17" s="15">
        <f t="shared" si="1"/>
        <v>4798.532231404959</v>
      </c>
      <c r="I17" s="15">
        <f>WRC_BurrOak_monthly!N17</f>
        <v>4799.8214876033062</v>
      </c>
      <c r="J17" s="15">
        <f t="shared" si="2"/>
        <v>1.2892561983471751</v>
      </c>
      <c r="K17" s="14" t="s">
        <v>69</v>
      </c>
    </row>
    <row r="18" spans="1:11">
      <c r="A18" s="14" t="s">
        <v>25</v>
      </c>
      <c r="B18">
        <v>6853800</v>
      </c>
      <c r="C18">
        <v>60</v>
      </c>
      <c r="D18">
        <v>54716</v>
      </c>
      <c r="E18">
        <v>1969</v>
      </c>
      <c r="F18">
        <v>24.4</v>
      </c>
      <c r="G18">
        <f t="shared" si="0"/>
        <v>365</v>
      </c>
      <c r="H18" s="15">
        <f t="shared" si="1"/>
        <v>17664.793388429753</v>
      </c>
      <c r="I18" s="15">
        <f>WRC_BurrOak_monthly!N18</f>
        <v>17683.051239669421</v>
      </c>
      <c r="J18" s="15">
        <f t="shared" si="2"/>
        <v>18.257851239668526</v>
      </c>
      <c r="K18" s="14" t="s">
        <v>82</v>
      </c>
    </row>
    <row r="19" spans="1:11">
      <c r="A19" s="14" t="s">
        <v>25</v>
      </c>
      <c r="B19">
        <v>6853800</v>
      </c>
      <c r="C19">
        <v>60</v>
      </c>
      <c r="D19">
        <v>54716</v>
      </c>
      <c r="E19">
        <v>1970</v>
      </c>
      <c r="F19">
        <v>4.97</v>
      </c>
      <c r="G19">
        <f t="shared" si="0"/>
        <v>365</v>
      </c>
      <c r="H19" s="15">
        <f t="shared" si="1"/>
        <v>3598.1157024793388</v>
      </c>
      <c r="I19" s="15">
        <f>WRC_BurrOak_monthly!N19</f>
        <v>3598.605619834711</v>
      </c>
      <c r="J19" s="15">
        <f t="shared" si="2"/>
        <v>0.48991735537219938</v>
      </c>
      <c r="K19" s="14" t="s">
        <v>69</v>
      </c>
    </row>
    <row r="20" spans="1:11">
      <c r="A20" s="14" t="s">
        <v>25</v>
      </c>
      <c r="B20">
        <v>6853800</v>
      </c>
      <c r="C20">
        <v>60</v>
      </c>
      <c r="D20">
        <v>54716</v>
      </c>
      <c r="E20">
        <v>1971</v>
      </c>
      <c r="F20">
        <v>10.7</v>
      </c>
      <c r="G20">
        <f t="shared" si="0"/>
        <v>365</v>
      </c>
      <c r="H20" s="15">
        <f t="shared" si="1"/>
        <v>7746.446280991735</v>
      </c>
      <c r="I20" s="15">
        <f>WRC_BurrOak_monthly!N20</f>
        <v>7757.9008264462809</v>
      </c>
      <c r="J20" s="15">
        <f t="shared" si="2"/>
        <v>11.454545454545951</v>
      </c>
      <c r="K20" s="14" t="s">
        <v>69</v>
      </c>
    </row>
    <row r="21" spans="1:11">
      <c r="A21" s="14" t="s">
        <v>25</v>
      </c>
      <c r="B21">
        <v>6853800</v>
      </c>
      <c r="C21">
        <v>60</v>
      </c>
      <c r="D21">
        <v>54716</v>
      </c>
      <c r="E21">
        <v>1972</v>
      </c>
      <c r="F21">
        <v>10.9</v>
      </c>
      <c r="G21">
        <f t="shared" si="0"/>
        <v>366</v>
      </c>
      <c r="H21" s="15">
        <f t="shared" si="1"/>
        <v>7912.8595041322315</v>
      </c>
      <c r="I21" s="15">
        <f>WRC_BurrOak_monthly!N21</f>
        <v>7943.9107438016517</v>
      </c>
      <c r="J21" s="15">
        <f t="shared" si="2"/>
        <v>31.051239669420283</v>
      </c>
      <c r="K21" s="14" t="s">
        <v>83</v>
      </c>
    </row>
    <row r="22" spans="1:11">
      <c r="A22" s="14" t="s">
        <v>25</v>
      </c>
      <c r="B22">
        <v>6853800</v>
      </c>
      <c r="C22">
        <v>60</v>
      </c>
      <c r="D22">
        <v>54716</v>
      </c>
      <c r="E22">
        <v>1973</v>
      </c>
      <c r="F22">
        <v>99.6</v>
      </c>
      <c r="G22">
        <f t="shared" si="0"/>
        <v>365</v>
      </c>
      <c r="H22" s="15">
        <f t="shared" si="1"/>
        <v>72107.107438016537</v>
      </c>
      <c r="I22" s="15">
        <f>WRC_BurrOak_monthly!N22</f>
        <v>72124.165289256212</v>
      </c>
      <c r="J22" s="15">
        <f t="shared" si="2"/>
        <v>17.057851239675074</v>
      </c>
      <c r="K22" s="14" t="s">
        <v>84</v>
      </c>
    </row>
    <row r="23" spans="1:11">
      <c r="A23" s="14" t="s">
        <v>25</v>
      </c>
      <c r="B23">
        <v>6853800</v>
      </c>
      <c r="C23">
        <v>60</v>
      </c>
      <c r="D23">
        <v>54716</v>
      </c>
      <c r="E23">
        <v>1974</v>
      </c>
      <c r="F23">
        <v>19.5</v>
      </c>
      <c r="G23">
        <f t="shared" si="0"/>
        <v>365</v>
      </c>
      <c r="H23" s="15">
        <f t="shared" si="1"/>
        <v>14117.355371900827</v>
      </c>
      <c r="I23" s="15">
        <f>WRC_BurrOak_monthly!N23</f>
        <v>14124.297520661157</v>
      </c>
      <c r="J23" s="15">
        <f t="shared" si="2"/>
        <v>6.9421487603303831</v>
      </c>
      <c r="K23" s="14" t="s">
        <v>85</v>
      </c>
    </row>
    <row r="24" spans="1:11">
      <c r="A24" s="14" t="s">
        <v>25</v>
      </c>
      <c r="B24">
        <v>6853800</v>
      </c>
      <c r="C24">
        <v>60</v>
      </c>
      <c r="D24">
        <v>54716</v>
      </c>
      <c r="E24">
        <v>1975</v>
      </c>
      <c r="F24">
        <v>35.1</v>
      </c>
      <c r="G24">
        <f t="shared" si="0"/>
        <v>365</v>
      </c>
      <c r="H24" s="15">
        <f t="shared" si="1"/>
        <v>25411.239669421488</v>
      </c>
      <c r="I24" s="15">
        <f>WRC_BurrOak_monthly!N24</f>
        <v>25421.047933884296</v>
      </c>
      <c r="J24" s="15">
        <f t="shared" si="2"/>
        <v>9.8082644628084381</v>
      </c>
      <c r="K24" s="14" t="s">
        <v>86</v>
      </c>
    </row>
    <row r="25" spans="1:11">
      <c r="A25" s="14" t="s">
        <v>25</v>
      </c>
      <c r="B25">
        <v>6853800</v>
      </c>
      <c r="C25">
        <v>60</v>
      </c>
      <c r="D25">
        <v>54716</v>
      </c>
      <c r="E25">
        <v>1976</v>
      </c>
      <c r="F25">
        <v>8.83</v>
      </c>
      <c r="G25">
        <f t="shared" si="0"/>
        <v>366</v>
      </c>
      <c r="H25" s="15">
        <f t="shared" si="1"/>
        <v>6410.1421487603311</v>
      </c>
      <c r="I25" s="15">
        <f>WRC_BurrOak_monthly!N25</f>
        <v>6395.4644628099177</v>
      </c>
      <c r="J25" s="15">
        <f t="shared" si="2"/>
        <v>-14.677685950413434</v>
      </c>
      <c r="K25" s="14" t="s">
        <v>162</v>
      </c>
    </row>
    <row r="26" spans="1:11">
      <c r="A26" s="14" t="s">
        <v>25</v>
      </c>
      <c r="B26">
        <v>6853800</v>
      </c>
      <c r="C26">
        <v>60</v>
      </c>
      <c r="D26">
        <v>54716</v>
      </c>
      <c r="E26">
        <v>1977</v>
      </c>
      <c r="F26">
        <v>5.41</v>
      </c>
      <c r="G26">
        <f t="shared" si="0"/>
        <v>365</v>
      </c>
      <c r="H26" s="15">
        <f t="shared" si="1"/>
        <v>3916.6611570247937</v>
      </c>
      <c r="I26" s="15">
        <f>WRC_BurrOak_monthly!N26</f>
        <v>3914.2115702479341</v>
      </c>
      <c r="J26" s="15">
        <f t="shared" si="2"/>
        <v>-2.4495867768596327</v>
      </c>
      <c r="K26" s="14" t="s">
        <v>87</v>
      </c>
    </row>
    <row r="27" spans="1:11">
      <c r="A27" s="14" t="s">
        <v>25</v>
      </c>
      <c r="B27">
        <v>6853800</v>
      </c>
      <c r="C27">
        <v>60</v>
      </c>
      <c r="D27">
        <v>54716</v>
      </c>
      <c r="E27">
        <v>1978</v>
      </c>
      <c r="F27">
        <v>22.7</v>
      </c>
      <c r="G27">
        <f t="shared" si="0"/>
        <v>365</v>
      </c>
      <c r="H27" s="15">
        <f t="shared" si="1"/>
        <v>16434.049586776859</v>
      </c>
      <c r="I27" s="15">
        <f>WRC_BurrOak_monthly!N27</f>
        <v>16425.763636363637</v>
      </c>
      <c r="J27" s="15">
        <f t="shared" si="2"/>
        <v>-8.2859504132211441</v>
      </c>
      <c r="K27" s="14" t="s">
        <v>88</v>
      </c>
    </row>
    <row r="28" spans="1:11">
      <c r="A28" s="14" t="s">
        <v>25</v>
      </c>
      <c r="B28">
        <v>6853800</v>
      </c>
      <c r="C28">
        <v>60</v>
      </c>
      <c r="D28">
        <v>54716</v>
      </c>
      <c r="E28">
        <v>1979</v>
      </c>
      <c r="F28">
        <v>26.4</v>
      </c>
      <c r="G28">
        <f t="shared" si="0"/>
        <v>365</v>
      </c>
      <c r="H28" s="15">
        <f t="shared" si="1"/>
        <v>19112.727272727272</v>
      </c>
      <c r="I28" s="15">
        <f>WRC_BurrOak_monthly!N28</f>
        <v>19149.074380165286</v>
      </c>
      <c r="J28" s="15">
        <f t="shared" si="2"/>
        <v>36.347107438014064</v>
      </c>
      <c r="K28" s="14" t="s">
        <v>89</v>
      </c>
    </row>
    <row r="29" spans="1:11">
      <c r="A29" s="14" t="s">
        <v>25</v>
      </c>
      <c r="B29">
        <v>6853800</v>
      </c>
      <c r="C29">
        <v>60</v>
      </c>
      <c r="D29">
        <v>54716</v>
      </c>
      <c r="E29">
        <v>1980</v>
      </c>
      <c r="F29">
        <v>14.6</v>
      </c>
      <c r="G29">
        <f t="shared" si="0"/>
        <v>366</v>
      </c>
      <c r="H29" s="15">
        <f t="shared" si="1"/>
        <v>10598.87603305785</v>
      </c>
      <c r="I29" s="15">
        <f>WRC_BurrOak_monthly!N29</f>
        <v>10592.885950413223</v>
      </c>
      <c r="J29" s="15">
        <f t="shared" si="2"/>
        <v>-5.9900826446264546</v>
      </c>
      <c r="K29" s="14" t="s">
        <v>69</v>
      </c>
    </row>
    <row r="30" spans="1:11">
      <c r="A30" s="14" t="s">
        <v>25</v>
      </c>
      <c r="B30">
        <v>6853800</v>
      </c>
      <c r="C30">
        <v>60</v>
      </c>
      <c r="D30">
        <v>54716</v>
      </c>
      <c r="E30">
        <v>1981</v>
      </c>
      <c r="F30">
        <v>19.3</v>
      </c>
      <c r="G30">
        <f t="shared" si="0"/>
        <v>365</v>
      </c>
      <c r="H30" s="15">
        <f t="shared" si="1"/>
        <v>13972.561983471074</v>
      </c>
      <c r="I30" s="15">
        <f>WRC_BurrOak_monthly!N30</f>
        <v>13987.328925619837</v>
      </c>
      <c r="J30" s="15">
        <f t="shared" si="2"/>
        <v>14.76694214876261</v>
      </c>
      <c r="K30" s="14" t="s">
        <v>69</v>
      </c>
    </row>
    <row r="31" spans="1:11">
      <c r="A31" s="14" t="s">
        <v>25</v>
      </c>
      <c r="B31">
        <v>6853800</v>
      </c>
      <c r="C31">
        <v>60</v>
      </c>
      <c r="D31">
        <v>54716</v>
      </c>
      <c r="E31">
        <v>1982</v>
      </c>
      <c r="F31">
        <v>24.8</v>
      </c>
      <c r="G31">
        <f t="shared" si="0"/>
        <v>365</v>
      </c>
      <c r="H31" s="15">
        <f t="shared" si="1"/>
        <v>17954.380165289258</v>
      </c>
      <c r="I31" s="15">
        <f>WRC_BurrOak_monthly!N31</f>
        <v>17921.31570247934</v>
      </c>
      <c r="J31" s="15">
        <f t="shared" si="2"/>
        <v>-33.064462809918041</v>
      </c>
      <c r="K31" s="14" t="s">
        <v>90</v>
      </c>
    </row>
    <row r="32" spans="1:11">
      <c r="A32" s="14" t="s">
        <v>25</v>
      </c>
      <c r="B32">
        <v>6853800</v>
      </c>
      <c r="C32">
        <v>60</v>
      </c>
      <c r="D32">
        <v>54716</v>
      </c>
      <c r="E32">
        <v>1983</v>
      </c>
      <c r="F32">
        <v>18.399999999999999</v>
      </c>
      <c r="G32">
        <f t="shared" si="0"/>
        <v>365</v>
      </c>
      <c r="H32" s="15">
        <f t="shared" si="1"/>
        <v>13320.991735537189</v>
      </c>
      <c r="I32" s="15">
        <f>WRC_BurrOak_monthly!N32</f>
        <v>13369.03140495868</v>
      </c>
      <c r="J32" s="15">
        <f t="shared" si="2"/>
        <v>48.039669421490544</v>
      </c>
      <c r="K32" s="14" t="s">
        <v>91</v>
      </c>
    </row>
    <row r="33" spans="1:11">
      <c r="A33" s="14" t="s">
        <v>25</v>
      </c>
      <c r="B33">
        <v>6853800</v>
      </c>
      <c r="C33">
        <v>60</v>
      </c>
      <c r="D33">
        <v>54716</v>
      </c>
      <c r="E33">
        <v>1984</v>
      </c>
      <c r="F33">
        <v>37.6</v>
      </c>
      <c r="G33">
        <f t="shared" si="0"/>
        <v>366</v>
      </c>
      <c r="H33" s="15">
        <f t="shared" si="1"/>
        <v>27295.735537190085</v>
      </c>
      <c r="I33" s="15">
        <f>WRC_BurrOak_monthly!N33</f>
        <v>27265.249586776859</v>
      </c>
      <c r="J33" s="15">
        <f t="shared" si="2"/>
        <v>-30.48595041322551</v>
      </c>
      <c r="K33" s="14" t="s">
        <v>92</v>
      </c>
    </row>
    <row r="34" spans="1:11">
      <c r="A34" s="14" t="s">
        <v>25</v>
      </c>
      <c r="B34">
        <v>6853800</v>
      </c>
      <c r="C34">
        <v>60</v>
      </c>
      <c r="D34">
        <v>54716</v>
      </c>
      <c r="E34">
        <v>1985</v>
      </c>
      <c r="F34">
        <v>42.8</v>
      </c>
      <c r="G34">
        <f t="shared" si="0"/>
        <v>365</v>
      </c>
      <c r="H34" s="15">
        <f t="shared" si="1"/>
        <v>30985.78512396694</v>
      </c>
      <c r="I34" s="15">
        <f>WRC_BurrOak_monthly!N34</f>
        <v>31023.619834710742</v>
      </c>
      <c r="J34" s="15">
        <f t="shared" si="2"/>
        <v>37.834710743802134</v>
      </c>
      <c r="K34" s="14" t="s">
        <v>93</v>
      </c>
    </row>
    <row r="35" spans="1:11">
      <c r="A35" s="14" t="s">
        <v>25</v>
      </c>
      <c r="B35">
        <v>6853800</v>
      </c>
      <c r="C35">
        <v>60</v>
      </c>
      <c r="D35">
        <v>54716</v>
      </c>
      <c r="E35">
        <v>1986</v>
      </c>
      <c r="F35">
        <v>29.2</v>
      </c>
      <c r="G35">
        <f t="shared" si="0"/>
        <v>365</v>
      </c>
      <c r="H35" s="15">
        <f t="shared" si="1"/>
        <v>21139.834710743802</v>
      </c>
      <c r="I35" s="15">
        <f>WRC_BurrOak_monthly!N35</f>
        <v>21147.352066115702</v>
      </c>
      <c r="J35" s="15">
        <f t="shared" si="2"/>
        <v>7.5173553718996118</v>
      </c>
      <c r="K35" s="14" t="s">
        <v>94</v>
      </c>
    </row>
    <row r="36" spans="1:11">
      <c r="A36" s="14" t="s">
        <v>25</v>
      </c>
      <c r="B36">
        <v>6853800</v>
      </c>
      <c r="C36">
        <v>60</v>
      </c>
      <c r="D36">
        <v>54716</v>
      </c>
      <c r="E36">
        <v>1987</v>
      </c>
      <c r="F36">
        <v>66.900000000000006</v>
      </c>
      <c r="G36">
        <f t="shared" si="0"/>
        <v>365</v>
      </c>
      <c r="H36" s="15">
        <f t="shared" si="1"/>
        <v>48433.388429752078</v>
      </c>
      <c r="I36" s="15">
        <f>WRC_BurrOak_monthly!N36</f>
        <v>48419.404958677689</v>
      </c>
      <c r="J36" s="15">
        <f t="shared" si="2"/>
        <v>-13.983471074388945</v>
      </c>
      <c r="K36" s="14" t="s">
        <v>95</v>
      </c>
    </row>
    <row r="37" spans="1:11">
      <c r="A37" s="14" t="s">
        <v>25</v>
      </c>
      <c r="B37">
        <v>6853800</v>
      </c>
      <c r="C37">
        <v>60</v>
      </c>
      <c r="D37">
        <v>54716</v>
      </c>
      <c r="E37">
        <v>1988</v>
      </c>
      <c r="F37">
        <v>26.2</v>
      </c>
      <c r="G37">
        <f t="shared" si="0"/>
        <v>366</v>
      </c>
      <c r="H37" s="15">
        <f t="shared" si="1"/>
        <v>19019.900826446279</v>
      </c>
      <c r="I37" s="15">
        <f>WRC_BurrOak_monthly!N37</f>
        <v>18954.515702479341</v>
      </c>
      <c r="J37" s="15">
        <f t="shared" si="2"/>
        <v>-65.385123966938409</v>
      </c>
      <c r="K37" s="14" t="s">
        <v>69</v>
      </c>
    </row>
    <row r="38" spans="1:11">
      <c r="A38" s="14" t="s">
        <v>25</v>
      </c>
      <c r="B38">
        <v>6853800</v>
      </c>
      <c r="C38">
        <v>60</v>
      </c>
      <c r="D38">
        <v>54716</v>
      </c>
      <c r="E38">
        <v>1989</v>
      </c>
      <c r="F38">
        <v>26.5</v>
      </c>
      <c r="G38">
        <f t="shared" si="0"/>
        <v>365</v>
      </c>
      <c r="H38" s="15">
        <f t="shared" si="1"/>
        <v>19185.123966942148</v>
      </c>
      <c r="I38" s="15">
        <f>WRC_BurrOak_monthly!N38</f>
        <v>19171.388429752064</v>
      </c>
      <c r="J38" s="15">
        <f t="shared" si="2"/>
        <v>-13.73553719008487</v>
      </c>
      <c r="K38" s="14" t="s">
        <v>69</v>
      </c>
    </row>
    <row r="39" spans="1:11">
      <c r="A39" s="14" t="s">
        <v>25</v>
      </c>
      <c r="B39">
        <v>6853800</v>
      </c>
      <c r="C39">
        <v>60</v>
      </c>
      <c r="D39">
        <v>54716</v>
      </c>
      <c r="E39">
        <v>1990</v>
      </c>
      <c r="F39">
        <v>18.7</v>
      </c>
      <c r="G39">
        <f t="shared" si="0"/>
        <v>365</v>
      </c>
      <c r="H39" s="15">
        <f t="shared" si="1"/>
        <v>13538.181818181818</v>
      </c>
      <c r="I39" s="15">
        <f>WRC_BurrOak_monthly!N39</f>
        <v>13568.781818181818</v>
      </c>
      <c r="J39" s="15">
        <f t="shared" si="2"/>
        <v>30.600000000000364</v>
      </c>
    </row>
    <row r="40" spans="1:11">
      <c r="A40" s="14" t="s">
        <v>25</v>
      </c>
      <c r="B40">
        <v>6853800</v>
      </c>
      <c r="C40">
        <v>60</v>
      </c>
      <c r="D40">
        <v>54716</v>
      </c>
      <c r="E40">
        <v>1991</v>
      </c>
      <c r="F40">
        <v>4.41</v>
      </c>
      <c r="G40">
        <f t="shared" si="0"/>
        <v>365</v>
      </c>
      <c r="H40" s="15">
        <f t="shared" si="1"/>
        <v>3192.6942148760331</v>
      </c>
      <c r="I40" s="15">
        <f>WRC_BurrOak_monthly!N40</f>
        <v>3199.3586776859506</v>
      </c>
      <c r="J40" s="15">
        <f t="shared" si="2"/>
        <v>6.6644628099174952</v>
      </c>
    </row>
    <row r="41" spans="1:11">
      <c r="A41" s="14" t="s">
        <v>25</v>
      </c>
      <c r="B41">
        <v>6853800</v>
      </c>
      <c r="C41">
        <v>60</v>
      </c>
      <c r="D41">
        <v>54716</v>
      </c>
      <c r="E41">
        <v>1992</v>
      </c>
      <c r="F41">
        <v>21</v>
      </c>
      <c r="G41">
        <f t="shared" si="0"/>
        <v>366</v>
      </c>
      <c r="H41" s="15">
        <f t="shared" si="1"/>
        <v>15244.958677685951</v>
      </c>
      <c r="I41" s="15">
        <f>WRC_BurrOak_monthly!N41</f>
        <v>15211.294214876034</v>
      </c>
      <c r="J41" s="15">
        <f t="shared" si="2"/>
        <v>-33.664462809916586</v>
      </c>
    </row>
    <row r="42" spans="1:11">
      <c r="A42" s="14" t="s">
        <v>25</v>
      </c>
      <c r="B42">
        <v>6853800</v>
      </c>
      <c r="C42">
        <v>60</v>
      </c>
      <c r="D42">
        <v>54716</v>
      </c>
      <c r="E42">
        <v>1993</v>
      </c>
      <c r="F42">
        <v>145.4</v>
      </c>
      <c r="G42">
        <f t="shared" si="0"/>
        <v>365</v>
      </c>
      <c r="H42" s="15">
        <f t="shared" si="1"/>
        <v>105264.79338842975</v>
      </c>
      <c r="I42" s="15">
        <f>WRC_BurrOak_monthly!N42</f>
        <v>105336.93223140495</v>
      </c>
      <c r="J42" s="15">
        <f t="shared" si="2"/>
        <v>72.138842975196894</v>
      </c>
    </row>
    <row r="43" spans="1:11">
      <c r="A43" s="14" t="s">
        <v>25</v>
      </c>
      <c r="B43">
        <v>6853800</v>
      </c>
      <c r="C43">
        <v>60</v>
      </c>
      <c r="D43">
        <v>54716</v>
      </c>
      <c r="E43">
        <v>1994</v>
      </c>
      <c r="F43">
        <v>25.3</v>
      </c>
      <c r="G43">
        <f t="shared" si="0"/>
        <v>365</v>
      </c>
      <c r="H43" s="15">
        <f t="shared" si="1"/>
        <v>18316.363636363636</v>
      </c>
      <c r="I43" s="15">
        <f>WRC_BurrOak_monthly!N43</f>
        <v>18338.885950413227</v>
      </c>
      <c r="J43" s="15">
        <f t="shared" si="2"/>
        <v>22.522314049590932</v>
      </c>
    </row>
    <row r="44" spans="1:11">
      <c r="A44" s="14" t="s">
        <v>25</v>
      </c>
      <c r="B44">
        <v>6853800</v>
      </c>
      <c r="C44">
        <v>60</v>
      </c>
      <c r="D44">
        <v>54716</v>
      </c>
      <c r="E44">
        <v>1995</v>
      </c>
      <c r="F44">
        <v>27.2</v>
      </c>
      <c r="G44">
        <f t="shared" si="0"/>
        <v>365</v>
      </c>
      <c r="H44" s="15">
        <f t="shared" si="1"/>
        <v>19691.900826446283</v>
      </c>
      <c r="I44" s="15">
        <f>WRC_BurrOak_monthly!N44</f>
        <v>19702.016528925622</v>
      </c>
      <c r="J44" s="15">
        <f t="shared" si="2"/>
        <v>10.115702479339234</v>
      </c>
    </row>
    <row r="45" spans="1:11">
      <c r="A45" s="14" t="s">
        <v>25</v>
      </c>
      <c r="B45">
        <v>6853800</v>
      </c>
      <c r="C45">
        <v>60</v>
      </c>
      <c r="D45">
        <v>54716</v>
      </c>
      <c r="E45">
        <v>1996</v>
      </c>
      <c r="F45">
        <v>24.9</v>
      </c>
      <c r="G45">
        <f t="shared" si="0"/>
        <v>366</v>
      </c>
      <c r="H45" s="15">
        <f t="shared" si="1"/>
        <v>18076.165289256198</v>
      </c>
      <c r="I45" s="15">
        <f>WRC_BurrOak_monthly!N45</f>
        <v>18071.414876033061</v>
      </c>
      <c r="J45" s="15">
        <f t="shared" si="2"/>
        <v>-4.7504132231370022</v>
      </c>
    </row>
    <row r="46" spans="1:11">
      <c r="A46" s="14" t="s">
        <v>25</v>
      </c>
      <c r="B46">
        <v>6853800</v>
      </c>
      <c r="C46">
        <v>60</v>
      </c>
      <c r="D46">
        <v>54716</v>
      </c>
      <c r="E46">
        <v>1997</v>
      </c>
      <c r="F46">
        <v>32.1</v>
      </c>
      <c r="G46">
        <f t="shared" si="0"/>
        <v>365</v>
      </c>
      <c r="H46" s="15">
        <f t="shared" si="1"/>
        <v>23239.338842975209</v>
      </c>
      <c r="I46" s="15">
        <f>WRC_BurrOak_monthly!N46</f>
        <v>23251.319008264458</v>
      </c>
      <c r="J46" s="15">
        <f t="shared" si="2"/>
        <v>11.980165289249271</v>
      </c>
    </row>
    <row r="47" spans="1:11">
      <c r="A47" s="14" t="s">
        <v>25</v>
      </c>
      <c r="B47">
        <v>6853800</v>
      </c>
      <c r="C47">
        <v>60</v>
      </c>
      <c r="D47">
        <v>54716</v>
      </c>
      <c r="E47">
        <v>1998</v>
      </c>
      <c r="F47">
        <v>46.7</v>
      </c>
      <c r="G47">
        <f t="shared" si="0"/>
        <v>365</v>
      </c>
      <c r="H47" s="15">
        <f t="shared" si="1"/>
        <v>33809.25619834711</v>
      </c>
      <c r="I47" s="15">
        <f>WRC_BurrOak_monthly!N47</f>
        <v>33757.586776859505</v>
      </c>
      <c r="J47" s="15">
        <f t="shared" si="2"/>
        <v>-51.669421487604268</v>
      </c>
    </row>
    <row r="48" spans="1:11">
      <c r="A48" s="14" t="s">
        <v>25</v>
      </c>
      <c r="B48">
        <v>6853800</v>
      </c>
      <c r="C48">
        <v>60</v>
      </c>
      <c r="D48">
        <v>54716</v>
      </c>
      <c r="E48">
        <v>1999</v>
      </c>
      <c r="F48">
        <v>21.4</v>
      </c>
      <c r="G48">
        <f t="shared" si="0"/>
        <v>365</v>
      </c>
      <c r="H48" s="15">
        <f t="shared" si="1"/>
        <v>15492.89256198347</v>
      </c>
      <c r="I48" s="15">
        <f>WRC_BurrOak_monthly!N48</f>
        <v>15484.17520661157</v>
      </c>
      <c r="J48" s="15">
        <f t="shared" si="2"/>
        <v>-8.7173553719003394</v>
      </c>
    </row>
    <row r="49" spans="1:10">
      <c r="A49" s="14" t="s">
        <v>25</v>
      </c>
      <c r="B49">
        <v>6853800</v>
      </c>
      <c r="C49">
        <v>60</v>
      </c>
      <c r="D49">
        <v>54716</v>
      </c>
      <c r="E49">
        <v>2000</v>
      </c>
      <c r="F49">
        <v>6.33</v>
      </c>
      <c r="G49">
        <f t="shared" si="0"/>
        <v>366</v>
      </c>
      <c r="H49" s="15">
        <f t="shared" si="1"/>
        <v>4595.2661157024795</v>
      </c>
      <c r="I49" s="15">
        <f>WRC_BurrOak_monthly!N49</f>
        <v>4580.9593388429757</v>
      </c>
      <c r="J49" s="15">
        <f>I49-H49</f>
        <v>-14.306776859503771</v>
      </c>
    </row>
    <row r="50" spans="1:10">
      <c r="A50" s="14" t="s">
        <v>25</v>
      </c>
      <c r="B50">
        <v>6853800</v>
      </c>
      <c r="C50">
        <v>60</v>
      </c>
      <c r="D50">
        <v>54716</v>
      </c>
      <c r="E50">
        <v>2001</v>
      </c>
      <c r="F50">
        <v>31.8</v>
      </c>
      <c r="G50">
        <f t="shared" si="0"/>
        <v>365</v>
      </c>
      <c r="H50" s="15">
        <f t="shared" si="1"/>
        <v>23022.14876033058</v>
      </c>
      <c r="I50" s="15">
        <f>WRC_BurrOak_monthly!N50</f>
        <v>23056.904132231411</v>
      </c>
      <c r="J50" s="15">
        <f t="shared" si="2"/>
        <v>34.75537190083196</v>
      </c>
    </row>
    <row r="51" spans="1:10">
      <c r="A51" s="14" t="s">
        <v>25</v>
      </c>
      <c r="B51">
        <v>6853800</v>
      </c>
      <c r="C51">
        <v>60</v>
      </c>
      <c r="D51">
        <v>54716</v>
      </c>
      <c r="E51">
        <v>2002</v>
      </c>
      <c r="F51">
        <v>6.6</v>
      </c>
      <c r="G51">
        <f t="shared" si="0"/>
        <v>365</v>
      </c>
      <c r="H51" s="15">
        <f t="shared" si="1"/>
        <v>4778.181818181818</v>
      </c>
      <c r="I51" s="15">
        <f>WRC_BurrOak_monthly!N51</f>
        <v>4789.5272727272732</v>
      </c>
      <c r="J51" s="15">
        <f t="shared" si="2"/>
        <v>11.345454545455141</v>
      </c>
    </row>
    <row r="52" spans="1:10">
      <c r="A52" s="14" t="s">
        <v>25</v>
      </c>
      <c r="B52">
        <v>6853800</v>
      </c>
      <c r="C52">
        <v>60</v>
      </c>
      <c r="D52">
        <v>54716</v>
      </c>
      <c r="E52">
        <v>2003</v>
      </c>
      <c r="F52">
        <v>2.37</v>
      </c>
      <c r="G52">
        <f t="shared" si="0"/>
        <v>365</v>
      </c>
      <c r="H52" s="15">
        <f t="shared" si="1"/>
        <v>1715.8016528925621</v>
      </c>
      <c r="I52" s="15">
        <f>WRC_BurrOak_monthly!N52</f>
        <v>1722.9798347107439</v>
      </c>
      <c r="J52" s="15">
        <f t="shared" si="2"/>
        <v>7.1781818181818835</v>
      </c>
    </row>
    <row r="53" spans="1:10">
      <c r="A53" s="14" t="s">
        <v>25</v>
      </c>
      <c r="B53">
        <v>6853800</v>
      </c>
      <c r="C53">
        <v>60</v>
      </c>
      <c r="D53">
        <v>54716</v>
      </c>
      <c r="E53">
        <v>2004</v>
      </c>
      <c r="F53">
        <v>2.81</v>
      </c>
      <c r="G53">
        <f t="shared" si="0"/>
        <v>366</v>
      </c>
      <c r="H53" s="15">
        <f t="shared" si="1"/>
        <v>2039.9206611570248</v>
      </c>
      <c r="I53" s="15">
        <f>WRC_BurrOak_monthly!N53</f>
        <v>2041.664628099174</v>
      </c>
      <c r="J53" s="15">
        <f t="shared" si="2"/>
        <v>1.7439669421491999</v>
      </c>
    </row>
    <row r="54" spans="1:10">
      <c r="A54" s="14" t="s">
        <v>25</v>
      </c>
      <c r="B54">
        <v>6853800</v>
      </c>
      <c r="C54">
        <v>60</v>
      </c>
      <c r="D54">
        <v>54716</v>
      </c>
      <c r="E54">
        <v>2005</v>
      </c>
      <c r="F54">
        <v>5.0599999999999996</v>
      </c>
      <c r="G54">
        <f t="shared" si="0"/>
        <v>365</v>
      </c>
      <c r="H54" s="15">
        <f t="shared" si="1"/>
        <v>3663.272727272727</v>
      </c>
      <c r="I54" s="15">
        <f>WRC_BurrOak_monthly!N54</f>
        <v>3662.9246280991738</v>
      </c>
      <c r="J54" s="15">
        <f t="shared" si="2"/>
        <v>-0.34809917355323705</v>
      </c>
    </row>
    <row r="55" spans="1:10">
      <c r="A55" s="14" t="s">
        <v>25</v>
      </c>
      <c r="B55">
        <v>6853800</v>
      </c>
      <c r="C55">
        <v>60</v>
      </c>
      <c r="D55">
        <v>54716</v>
      </c>
      <c r="E55">
        <v>2006</v>
      </c>
      <c r="F55">
        <v>2.5099999999999998</v>
      </c>
      <c r="G55">
        <f t="shared" si="0"/>
        <v>365</v>
      </c>
      <c r="H55" s="15">
        <f t="shared" si="1"/>
        <v>1817.1570247933885</v>
      </c>
      <c r="I55" s="15">
        <f>WRC_BurrOak_monthly!N55</f>
        <v>1816.1201652892562</v>
      </c>
      <c r="J55" s="15">
        <f t="shared" si="2"/>
        <v>-1.0368595041322806</v>
      </c>
    </row>
    <row r="56" spans="1:10">
      <c r="A56" s="14" t="s">
        <v>25</v>
      </c>
      <c r="B56">
        <v>6853800</v>
      </c>
      <c r="C56">
        <v>60</v>
      </c>
      <c r="D56">
        <v>54716</v>
      </c>
      <c r="E56">
        <v>2007</v>
      </c>
      <c r="F56">
        <v>10.4</v>
      </c>
      <c r="G56">
        <f t="shared" si="0"/>
        <v>365</v>
      </c>
      <c r="H56" s="15">
        <f t="shared" si="1"/>
        <v>7529.2561983471078</v>
      </c>
      <c r="I56" s="15">
        <f>WRC_BurrOak_monthly!N56</f>
        <v>7542.0783471074383</v>
      </c>
      <c r="J56" s="15">
        <f t="shared" si="2"/>
        <v>12.822148760330492</v>
      </c>
    </row>
    <row r="57" spans="1:10">
      <c r="A57" s="14" t="s">
        <v>25</v>
      </c>
      <c r="B57">
        <v>6853800</v>
      </c>
      <c r="C57">
        <v>60</v>
      </c>
      <c r="D57">
        <v>54716</v>
      </c>
      <c r="E57">
        <v>2008</v>
      </c>
      <c r="F57">
        <v>56.8</v>
      </c>
      <c r="G57">
        <f t="shared" si="0"/>
        <v>366</v>
      </c>
      <c r="H57" s="15">
        <f t="shared" si="1"/>
        <v>41233.983471074382</v>
      </c>
      <c r="I57" s="15">
        <f>WRC_BurrOak_monthly!N57</f>
        <v>41224.760330578509</v>
      </c>
      <c r="J57" s="15">
        <f t="shared" si="2"/>
        <v>-9.2231404958729399</v>
      </c>
    </row>
    <row r="58" spans="1:10">
      <c r="A58" s="14" t="s">
        <v>25</v>
      </c>
      <c r="B58">
        <v>6853800</v>
      </c>
      <c r="C58">
        <v>60</v>
      </c>
      <c r="D58">
        <v>54716</v>
      </c>
      <c r="E58">
        <v>2009</v>
      </c>
      <c r="F58">
        <v>15</v>
      </c>
      <c r="G58">
        <f t="shared" si="0"/>
        <v>365</v>
      </c>
      <c r="H58" s="15">
        <f t="shared" si="1"/>
        <v>10859.504132231405</v>
      </c>
      <c r="I58" s="15">
        <f>WRC_BurrOak_monthly!N58</f>
        <v>10896.892561983472</v>
      </c>
      <c r="J58" s="15">
        <f t="shared" si="2"/>
        <v>37.388429752067168</v>
      </c>
    </row>
    <row r="59" spans="1:10">
      <c r="A59" s="14" t="s">
        <v>25</v>
      </c>
      <c r="B59">
        <v>6853800</v>
      </c>
      <c r="C59">
        <v>60</v>
      </c>
      <c r="D59">
        <v>54716</v>
      </c>
      <c r="E59">
        <v>2010</v>
      </c>
      <c r="F59">
        <v>40</v>
      </c>
      <c r="G59">
        <f t="shared" si="0"/>
        <v>365</v>
      </c>
      <c r="H59" s="15">
        <f t="shared" si="1"/>
        <v>28958.677685950413</v>
      </c>
      <c r="I59" s="15">
        <f>WRC_BurrOak_monthly!N59</f>
        <v>28974.664462809917</v>
      </c>
      <c r="J59" s="15">
        <f t="shared" si="2"/>
        <v>15.986776859503152</v>
      </c>
    </row>
    <row r="60" spans="1:10">
      <c r="A60" s="14" t="s">
        <v>25</v>
      </c>
      <c r="B60">
        <v>6853800</v>
      </c>
      <c r="C60">
        <v>60</v>
      </c>
      <c r="D60">
        <v>54716</v>
      </c>
      <c r="E60">
        <v>2011</v>
      </c>
      <c r="F60">
        <v>77.2</v>
      </c>
      <c r="G60">
        <f t="shared" si="0"/>
        <v>365</v>
      </c>
      <c r="H60" s="15">
        <f t="shared" si="1"/>
        <v>55890.247933884297</v>
      </c>
      <c r="I60" s="15">
        <f>WRC_BurrOak_monthly!N60</f>
        <v>55929.500826446281</v>
      </c>
      <c r="J60" s="15">
        <f t="shared" si="2"/>
        <v>39.252892561984481</v>
      </c>
    </row>
    <row r="61" spans="1:10">
      <c r="A61" s="14" t="s">
        <v>25</v>
      </c>
      <c r="B61">
        <v>6853800</v>
      </c>
      <c r="C61">
        <v>60</v>
      </c>
      <c r="D61">
        <v>54716</v>
      </c>
      <c r="E61">
        <v>2012</v>
      </c>
      <c r="F61">
        <v>9.23</v>
      </c>
      <c r="G61">
        <f t="shared" si="0"/>
        <v>366</v>
      </c>
      <c r="H61" s="15">
        <f t="shared" si="1"/>
        <v>6700.5223140495873</v>
      </c>
      <c r="I61" s="15">
        <f>WRC_BurrOak_monthly!N61</f>
        <v>6678.8528925619839</v>
      </c>
      <c r="J61" s="15">
        <f t="shared" si="2"/>
        <v>-21.669421487603358</v>
      </c>
    </row>
    <row r="62" spans="1:10">
      <c r="A62" s="14" t="s">
        <v>25</v>
      </c>
      <c r="B62">
        <v>6853800</v>
      </c>
      <c r="C62">
        <v>60</v>
      </c>
      <c r="D62">
        <v>54716</v>
      </c>
      <c r="E62">
        <v>2013</v>
      </c>
      <c r="F62">
        <v>3.07</v>
      </c>
      <c r="G62">
        <f t="shared" si="0"/>
        <v>365</v>
      </c>
      <c r="H62" s="15">
        <f t="shared" si="1"/>
        <v>2222.5785123966944</v>
      </c>
      <c r="I62" s="15">
        <f>WRC_BurrOak_monthly!N62</f>
        <v>2224.0879338842974</v>
      </c>
      <c r="J62" s="15">
        <f t="shared" si="2"/>
        <v>1.5094214876030492</v>
      </c>
    </row>
    <row r="63" spans="1:10">
      <c r="A63" s="14" t="s">
        <v>25</v>
      </c>
      <c r="B63">
        <v>6853800</v>
      </c>
      <c r="C63">
        <v>60</v>
      </c>
      <c r="D63">
        <v>54716</v>
      </c>
      <c r="E63">
        <v>2014</v>
      </c>
      <c r="F63">
        <v>8.0299999999999994</v>
      </c>
      <c r="G63">
        <f t="shared" si="0"/>
        <v>365</v>
      </c>
      <c r="H63" s="15">
        <f t="shared" si="1"/>
        <v>5813.454545454545</v>
      </c>
      <c r="I63" s="15">
        <f>WRC_BurrOak_monthly!N63</f>
        <v>5813.1292561983473</v>
      </c>
      <c r="J63" s="15">
        <f t="shared" si="2"/>
        <v>-0.32528925619772053</v>
      </c>
    </row>
    <row r="64" spans="1:10">
      <c r="A64" s="14" t="s">
        <v>25</v>
      </c>
      <c r="B64">
        <v>6853800</v>
      </c>
      <c r="C64">
        <v>60</v>
      </c>
      <c r="D64">
        <v>54716</v>
      </c>
      <c r="E64">
        <v>2015</v>
      </c>
      <c r="F64">
        <v>20.9</v>
      </c>
      <c r="G64">
        <f t="shared" si="0"/>
        <v>365</v>
      </c>
      <c r="H64" s="15">
        <f t="shared" si="1"/>
        <v>15130.90909090909</v>
      </c>
      <c r="I64" s="15">
        <f>WRC_BurrOak_monthly!N64</f>
        <v>15093.862809917357</v>
      </c>
      <c r="J64" s="15">
        <f t="shared" si="2"/>
        <v>-37.046280991733511</v>
      </c>
    </row>
    <row r="65" spans="1:10">
      <c r="A65" s="14" t="s">
        <v>25</v>
      </c>
      <c r="B65">
        <v>6853800</v>
      </c>
      <c r="C65">
        <v>60</v>
      </c>
      <c r="D65">
        <v>54716</v>
      </c>
      <c r="E65">
        <v>2016</v>
      </c>
      <c r="F65">
        <v>14.2</v>
      </c>
      <c r="G65">
        <f t="shared" si="0"/>
        <v>366</v>
      </c>
      <c r="H65" s="15">
        <f t="shared" si="1"/>
        <v>10308.495867768595</v>
      </c>
      <c r="I65" s="15">
        <f>WRC_BurrOak_monthly!N65</f>
        <v>10291.120661157025</v>
      </c>
      <c r="J65" s="15">
        <f t="shared" si="2"/>
        <v>-17.37520661157032</v>
      </c>
    </row>
    <row r="66" spans="1:10">
      <c r="A66" s="14" t="s">
        <v>25</v>
      </c>
      <c r="B66">
        <v>6853800</v>
      </c>
      <c r="C66">
        <v>60</v>
      </c>
      <c r="D66">
        <v>54716</v>
      </c>
      <c r="E66">
        <v>2017</v>
      </c>
      <c r="F66">
        <v>25.6</v>
      </c>
      <c r="G66">
        <f t="shared" si="0"/>
        <v>365</v>
      </c>
      <c r="H66" s="15">
        <f t="shared" si="1"/>
        <v>18533.553719008265</v>
      </c>
      <c r="I66" s="15">
        <f>WRC_BurrOak_monthly!N66</f>
        <v>18480.406611570252</v>
      </c>
      <c r="J66" s="15">
        <f t="shared" si="2"/>
        <v>-53.147107438013336</v>
      </c>
    </row>
    <row r="67" spans="1:10">
      <c r="A67" s="14" t="s">
        <v>25</v>
      </c>
      <c r="B67">
        <v>6853800</v>
      </c>
      <c r="C67">
        <v>60</v>
      </c>
      <c r="D67">
        <v>54716</v>
      </c>
      <c r="E67">
        <v>2018</v>
      </c>
      <c r="F67">
        <v>7.65</v>
      </c>
    </row>
  </sheetData>
  <hyperlinks>
    <hyperlink ref="P4" r:id="rId1" display="https://waterdata.usgs.gov/ks/nwis/annual/?referred_module=sw&amp;amp;site_no=06853800&amp;amp;por_06853800_54716=92218,00060,54716,1958,2018&amp;amp;partial_periods=on&amp;amp;year_type=C&amp;amp;format=rdb&amp;amp;date_format=MM/DD/YYYY&amp;amp;rdb_compression=value&amp;amp;submitted_form=parameter_selection_list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N66" sqref="N66"/>
    </sheetView>
  </sheetViews>
  <sheetFormatPr defaultRowHeight="12.7"/>
  <sheetData>
    <row r="1" spans="1:14">
      <c r="A1" s="16"/>
      <c r="B1" s="16"/>
      <c r="C1" s="16"/>
      <c r="D1" s="16"/>
      <c r="E1" s="16"/>
      <c r="F1" s="16"/>
      <c r="G1" s="16"/>
      <c r="H1" s="16"/>
      <c r="I1" s="16"/>
      <c r="J1" s="16"/>
      <c r="K1" s="17"/>
      <c r="L1" s="18"/>
      <c r="M1" s="16"/>
      <c r="N1" s="16"/>
    </row>
    <row r="2" spans="1:14">
      <c r="A2" s="16"/>
      <c r="B2" s="19"/>
      <c r="C2" s="19"/>
      <c r="D2" s="19"/>
      <c r="E2" s="19"/>
      <c r="F2" s="19" t="s">
        <v>96</v>
      </c>
      <c r="G2" s="19"/>
      <c r="H2" s="19"/>
      <c r="I2" s="19"/>
      <c r="J2" s="19"/>
      <c r="K2" s="19"/>
      <c r="L2" s="20"/>
      <c r="M2" s="21"/>
      <c r="N2" s="19"/>
    </row>
    <row r="3" spans="1:14">
      <c r="A3" s="16"/>
      <c r="B3" s="19"/>
      <c r="C3" s="19"/>
      <c r="D3" s="19"/>
      <c r="E3" s="19" t="s">
        <v>97</v>
      </c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6"/>
      <c r="B4" s="19"/>
      <c r="C4" s="19"/>
      <c r="D4" s="19"/>
      <c r="E4" s="19"/>
      <c r="F4" s="19"/>
      <c r="G4" s="22" t="s">
        <v>98</v>
      </c>
      <c r="H4" s="19"/>
      <c r="I4" s="19"/>
      <c r="J4" s="19"/>
      <c r="K4" s="19"/>
      <c r="L4" s="19"/>
      <c r="M4" s="19"/>
      <c r="N4" s="19"/>
    </row>
    <row r="5" spans="1:14">
      <c r="A5" s="23" t="s">
        <v>0</v>
      </c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24" t="s">
        <v>15</v>
      </c>
      <c r="K5" s="24" t="s">
        <v>16</v>
      </c>
      <c r="L5" s="24" t="s">
        <v>17</v>
      </c>
      <c r="M5" s="24" t="s">
        <v>18</v>
      </c>
      <c r="N5" s="25" t="s">
        <v>99</v>
      </c>
    </row>
    <row r="6" spans="1:14">
      <c r="A6" s="26">
        <v>1957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214</v>
      </c>
      <c r="I6" s="27">
        <v>399</v>
      </c>
      <c r="J6" s="27">
        <v>172</v>
      </c>
      <c r="K6" s="27">
        <v>27925</v>
      </c>
      <c r="L6" s="27">
        <v>163</v>
      </c>
      <c r="M6" s="27">
        <v>0</v>
      </c>
      <c r="N6" s="27">
        <f t="shared" ref="N6:N37" si="0">SUM(B6:M6)</f>
        <v>28873</v>
      </c>
    </row>
    <row r="7" spans="1:14">
      <c r="A7" s="16">
        <v>1958</v>
      </c>
      <c r="B7" s="28">
        <v>0</v>
      </c>
      <c r="C7" s="28">
        <v>0</v>
      </c>
      <c r="D7" s="28">
        <v>0</v>
      </c>
      <c r="E7" s="28">
        <v>0</v>
      </c>
      <c r="F7" s="28">
        <v>13601</v>
      </c>
      <c r="G7" s="28">
        <v>1373</v>
      </c>
      <c r="H7" s="28">
        <v>932</v>
      </c>
      <c r="I7" s="28">
        <v>938</v>
      </c>
      <c r="J7" s="28">
        <v>290</v>
      </c>
      <c r="K7" s="28">
        <v>488</v>
      </c>
      <c r="L7" s="28">
        <v>0</v>
      </c>
      <c r="M7" s="28">
        <v>0</v>
      </c>
      <c r="N7" s="28">
        <f t="shared" si="0"/>
        <v>17622</v>
      </c>
    </row>
    <row r="8" spans="1:14">
      <c r="A8" s="16">
        <v>1959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186</v>
      </c>
      <c r="H8" s="28">
        <v>2287</v>
      </c>
      <c r="I8" s="28">
        <v>2083</v>
      </c>
      <c r="J8" s="28">
        <v>2648</v>
      </c>
      <c r="K8" s="28">
        <v>500</v>
      </c>
      <c r="L8" s="28">
        <v>0</v>
      </c>
      <c r="M8" s="28">
        <v>0</v>
      </c>
      <c r="N8" s="28">
        <f t="shared" si="0"/>
        <v>7704</v>
      </c>
    </row>
    <row r="9" spans="1:14">
      <c r="A9" s="16">
        <v>1960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3084</v>
      </c>
      <c r="I9" s="28">
        <v>6837</v>
      </c>
      <c r="J9" s="28">
        <v>2608</v>
      </c>
      <c r="K9" s="28">
        <v>169</v>
      </c>
      <c r="L9" s="28">
        <v>0</v>
      </c>
      <c r="M9" s="28">
        <v>0</v>
      </c>
      <c r="N9" s="28">
        <f t="shared" si="0"/>
        <v>12698</v>
      </c>
    </row>
    <row r="10" spans="1:14">
      <c r="A10" s="16">
        <v>1961</v>
      </c>
      <c r="B10" s="28">
        <v>0</v>
      </c>
      <c r="C10" s="28">
        <v>0</v>
      </c>
      <c r="D10" s="28">
        <v>0</v>
      </c>
      <c r="E10" s="28">
        <v>399</v>
      </c>
      <c r="F10" s="28">
        <v>6526</v>
      </c>
      <c r="G10" s="28">
        <v>256</v>
      </c>
      <c r="H10" s="28">
        <v>9596</v>
      </c>
      <c r="I10" s="28">
        <v>10316</v>
      </c>
      <c r="J10" s="28">
        <v>629</v>
      </c>
      <c r="K10" s="28">
        <v>139</v>
      </c>
      <c r="L10" s="28">
        <v>0</v>
      </c>
      <c r="M10" s="28">
        <v>0</v>
      </c>
      <c r="N10" s="28">
        <f t="shared" si="0"/>
        <v>27861</v>
      </c>
    </row>
    <row r="11" spans="1:14">
      <c r="A11" s="16">
        <v>1962</v>
      </c>
      <c r="B11" s="28">
        <v>0</v>
      </c>
      <c r="C11" s="28">
        <v>0</v>
      </c>
      <c r="D11" s="28">
        <v>0</v>
      </c>
      <c r="E11" s="28">
        <v>0</v>
      </c>
      <c r="F11" s="28">
        <v>16</v>
      </c>
      <c r="G11" s="28">
        <v>177</v>
      </c>
      <c r="H11" s="28">
        <v>1745</v>
      </c>
      <c r="I11" s="28">
        <v>3094</v>
      </c>
      <c r="J11" s="28">
        <v>456</v>
      </c>
      <c r="K11" s="28">
        <v>0</v>
      </c>
      <c r="L11" s="28">
        <v>0</v>
      </c>
      <c r="M11" s="28">
        <v>0</v>
      </c>
      <c r="N11" s="28">
        <f t="shared" si="0"/>
        <v>5488</v>
      </c>
    </row>
    <row r="12" spans="1:14">
      <c r="A12" s="16">
        <v>1963</v>
      </c>
      <c r="B12" s="28">
        <v>0</v>
      </c>
      <c r="C12" s="28">
        <v>0</v>
      </c>
      <c r="D12" s="28">
        <v>0</v>
      </c>
      <c r="E12" s="28">
        <v>0</v>
      </c>
      <c r="F12" s="28">
        <v>4122</v>
      </c>
      <c r="G12" s="28">
        <v>7166</v>
      </c>
      <c r="H12" s="28">
        <v>18526</v>
      </c>
      <c r="I12" s="28">
        <v>17351</v>
      </c>
      <c r="J12" s="28">
        <v>1410</v>
      </c>
      <c r="K12" s="28">
        <v>0</v>
      </c>
      <c r="L12" s="28">
        <v>0</v>
      </c>
      <c r="M12" s="28">
        <v>0</v>
      </c>
      <c r="N12" s="28">
        <f t="shared" si="0"/>
        <v>48575</v>
      </c>
    </row>
    <row r="13" spans="1:14">
      <c r="A13" s="16">
        <v>1964</v>
      </c>
      <c r="B13" s="28">
        <v>0</v>
      </c>
      <c r="C13" s="28">
        <v>0</v>
      </c>
      <c r="D13" s="28">
        <v>0</v>
      </c>
      <c r="E13" s="28">
        <v>0</v>
      </c>
      <c r="F13" s="28">
        <v>119</v>
      </c>
      <c r="G13" s="28">
        <v>1507</v>
      </c>
      <c r="H13" s="28">
        <v>22608</v>
      </c>
      <c r="I13" s="28">
        <v>27324</v>
      </c>
      <c r="J13" s="28">
        <v>7018</v>
      </c>
      <c r="K13" s="28">
        <v>0</v>
      </c>
      <c r="L13" s="28">
        <v>0</v>
      </c>
      <c r="M13" s="28">
        <v>0</v>
      </c>
      <c r="N13" s="28">
        <f t="shared" si="0"/>
        <v>58576</v>
      </c>
    </row>
    <row r="14" spans="1:14">
      <c r="A14" s="16">
        <v>1965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2507</v>
      </c>
      <c r="H14" s="28">
        <v>8477</v>
      </c>
      <c r="I14" s="28">
        <v>18659</v>
      </c>
      <c r="J14" s="28">
        <v>1343</v>
      </c>
      <c r="K14" s="28">
        <v>0</v>
      </c>
      <c r="L14" s="28">
        <v>0</v>
      </c>
      <c r="M14" s="28">
        <v>0</v>
      </c>
      <c r="N14" s="28">
        <f t="shared" si="0"/>
        <v>30986</v>
      </c>
    </row>
    <row r="15" spans="1:14">
      <c r="A15" s="16">
        <v>1966</v>
      </c>
      <c r="B15" s="28">
        <v>0</v>
      </c>
      <c r="C15" s="28">
        <v>0</v>
      </c>
      <c r="D15" s="28">
        <v>0</v>
      </c>
      <c r="E15" s="28">
        <v>0</v>
      </c>
      <c r="F15" s="28">
        <v>4869</v>
      </c>
      <c r="G15" s="28">
        <v>8420</v>
      </c>
      <c r="H15" s="28">
        <v>19115</v>
      </c>
      <c r="I15" s="28">
        <v>1567</v>
      </c>
      <c r="J15" s="28">
        <v>1194</v>
      </c>
      <c r="K15" s="28">
        <v>4897</v>
      </c>
      <c r="L15" s="28">
        <v>11851</v>
      </c>
      <c r="M15" s="28">
        <v>0</v>
      </c>
      <c r="N15" s="28">
        <f t="shared" si="0"/>
        <v>51913</v>
      </c>
    </row>
    <row r="16" spans="1:14">
      <c r="A16" s="16">
        <v>1967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3054</v>
      </c>
      <c r="H16" s="28">
        <v>10318</v>
      </c>
      <c r="I16" s="28">
        <v>16463</v>
      </c>
      <c r="J16" s="28">
        <v>6403</v>
      </c>
      <c r="K16" s="28">
        <v>8576</v>
      </c>
      <c r="L16" s="28">
        <v>0</v>
      </c>
      <c r="M16" s="28">
        <v>0</v>
      </c>
      <c r="N16" s="28">
        <f t="shared" si="0"/>
        <v>44814</v>
      </c>
    </row>
    <row r="17" spans="1:14">
      <c r="A17" s="16">
        <v>1968</v>
      </c>
      <c r="B17" s="28">
        <v>0</v>
      </c>
      <c r="C17" s="28">
        <v>0</v>
      </c>
      <c r="D17" s="28">
        <v>0</v>
      </c>
      <c r="E17" s="28">
        <v>0</v>
      </c>
      <c r="F17" s="28">
        <v>831</v>
      </c>
      <c r="G17" s="28">
        <v>3679</v>
      </c>
      <c r="H17" s="28">
        <v>21478</v>
      </c>
      <c r="I17" s="28">
        <v>9155</v>
      </c>
      <c r="J17" s="28">
        <v>528</v>
      </c>
      <c r="K17" s="28">
        <v>0</v>
      </c>
      <c r="L17" s="28">
        <v>0</v>
      </c>
      <c r="M17" s="28">
        <v>0</v>
      </c>
      <c r="N17" s="28">
        <f t="shared" si="0"/>
        <v>35671</v>
      </c>
    </row>
    <row r="18" spans="1:14">
      <c r="A18" s="16">
        <v>1969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1686</v>
      </c>
      <c r="H18" s="28">
        <v>11722</v>
      </c>
      <c r="I18" s="28">
        <v>19964</v>
      </c>
      <c r="J18" s="28">
        <v>664</v>
      </c>
      <c r="K18" s="28">
        <v>0</v>
      </c>
      <c r="L18" s="28">
        <v>0</v>
      </c>
      <c r="M18" s="28">
        <v>0</v>
      </c>
      <c r="N18" s="28">
        <f t="shared" si="0"/>
        <v>34036</v>
      </c>
    </row>
    <row r="19" spans="1:14">
      <c r="A19" s="16">
        <v>1970</v>
      </c>
      <c r="B19" s="28">
        <v>0</v>
      </c>
      <c r="C19" s="28">
        <v>0</v>
      </c>
      <c r="D19" s="28">
        <v>0</v>
      </c>
      <c r="E19" s="28">
        <v>0</v>
      </c>
      <c r="F19" s="28">
        <v>12914</v>
      </c>
      <c r="G19" s="28">
        <v>3905</v>
      </c>
      <c r="H19" s="28">
        <v>20436</v>
      </c>
      <c r="I19" s="28">
        <v>25672</v>
      </c>
      <c r="J19" s="28">
        <v>5157</v>
      </c>
      <c r="K19" s="28">
        <v>561</v>
      </c>
      <c r="L19" s="28">
        <v>0</v>
      </c>
      <c r="M19" s="28">
        <v>0</v>
      </c>
      <c r="N19" s="28">
        <f t="shared" si="0"/>
        <v>68645</v>
      </c>
    </row>
    <row r="20" spans="1:14">
      <c r="A20" s="16">
        <v>1971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1266</v>
      </c>
      <c r="H20" s="28">
        <v>14508</v>
      </c>
      <c r="I20" s="28">
        <v>16177</v>
      </c>
      <c r="J20" s="28">
        <v>6491</v>
      </c>
      <c r="K20" s="28">
        <v>3007</v>
      </c>
      <c r="L20" s="28">
        <v>0</v>
      </c>
      <c r="M20" s="28">
        <v>0</v>
      </c>
      <c r="N20" s="28">
        <f t="shared" si="0"/>
        <v>41449</v>
      </c>
    </row>
    <row r="21" spans="1:14">
      <c r="A21" s="16">
        <v>1972</v>
      </c>
      <c r="B21" s="28">
        <v>0</v>
      </c>
      <c r="C21" s="28">
        <v>0</v>
      </c>
      <c r="D21" s="28">
        <v>0</v>
      </c>
      <c r="E21" s="28">
        <v>0</v>
      </c>
      <c r="F21" s="28">
        <v>2287</v>
      </c>
      <c r="G21" s="28">
        <v>3731</v>
      </c>
      <c r="H21" s="28">
        <v>16201</v>
      </c>
      <c r="I21" s="28">
        <v>3970</v>
      </c>
      <c r="J21" s="28">
        <v>746</v>
      </c>
      <c r="K21" s="28">
        <v>0</v>
      </c>
      <c r="L21" s="28">
        <v>0</v>
      </c>
      <c r="M21" s="28">
        <v>0</v>
      </c>
      <c r="N21" s="28">
        <f t="shared" si="0"/>
        <v>26935</v>
      </c>
    </row>
    <row r="22" spans="1:14">
      <c r="A22" s="16">
        <v>1973</v>
      </c>
      <c r="B22" s="28">
        <v>0</v>
      </c>
      <c r="C22" s="28">
        <v>0</v>
      </c>
      <c r="D22" s="28">
        <v>0</v>
      </c>
      <c r="E22" s="28">
        <v>0</v>
      </c>
      <c r="F22" s="28">
        <v>526</v>
      </c>
      <c r="G22" s="28">
        <v>2305</v>
      </c>
      <c r="H22" s="28">
        <v>11049</v>
      </c>
      <c r="I22" s="28">
        <v>6048</v>
      </c>
      <c r="J22" s="28">
        <v>714</v>
      </c>
      <c r="K22" s="28">
        <v>486</v>
      </c>
      <c r="L22" s="28">
        <v>0</v>
      </c>
      <c r="M22" s="28">
        <v>0</v>
      </c>
      <c r="N22" s="28">
        <f t="shared" si="0"/>
        <v>21128</v>
      </c>
    </row>
    <row r="23" spans="1:14">
      <c r="A23" s="16">
        <v>1974</v>
      </c>
      <c r="B23" s="28">
        <v>0</v>
      </c>
      <c r="C23" s="28">
        <v>0</v>
      </c>
      <c r="D23" s="28">
        <v>0</v>
      </c>
      <c r="E23" s="28">
        <v>0</v>
      </c>
      <c r="F23" s="28">
        <v>858</v>
      </c>
      <c r="G23" s="28">
        <v>2143</v>
      </c>
      <c r="H23" s="28">
        <v>20956</v>
      </c>
      <c r="I23" s="28">
        <v>14656</v>
      </c>
      <c r="J23" s="28">
        <v>2737</v>
      </c>
      <c r="K23" s="28">
        <v>97</v>
      </c>
      <c r="L23" s="28">
        <v>0</v>
      </c>
      <c r="M23" s="28">
        <v>0</v>
      </c>
      <c r="N23" s="28">
        <f t="shared" si="0"/>
        <v>41447</v>
      </c>
    </row>
    <row r="24" spans="1:14">
      <c r="A24" s="16">
        <v>1975</v>
      </c>
      <c r="B24" s="28">
        <v>0</v>
      </c>
      <c r="C24" s="28">
        <v>0</v>
      </c>
      <c r="D24" s="28">
        <v>0</v>
      </c>
      <c r="E24" s="28">
        <v>0</v>
      </c>
      <c r="F24" s="28">
        <v>1289</v>
      </c>
      <c r="G24" s="28">
        <v>1792</v>
      </c>
      <c r="H24" s="28">
        <v>18757</v>
      </c>
      <c r="I24" s="28">
        <v>16090</v>
      </c>
      <c r="J24" s="28">
        <v>5612</v>
      </c>
      <c r="K24" s="28">
        <v>138</v>
      </c>
      <c r="L24" s="28">
        <v>0</v>
      </c>
      <c r="M24" s="28">
        <v>0</v>
      </c>
      <c r="N24" s="28">
        <f t="shared" si="0"/>
        <v>43678</v>
      </c>
    </row>
    <row r="25" spans="1:14">
      <c r="A25" s="16">
        <v>1976</v>
      </c>
      <c r="B25" s="28">
        <v>0</v>
      </c>
      <c r="C25" s="28">
        <v>0</v>
      </c>
      <c r="D25" s="28">
        <v>0</v>
      </c>
      <c r="E25" s="28">
        <v>0</v>
      </c>
      <c r="F25" s="28">
        <v>400</v>
      </c>
      <c r="G25" s="28">
        <v>6419</v>
      </c>
      <c r="H25" s="28">
        <v>23057</v>
      </c>
      <c r="I25" s="28">
        <v>21447</v>
      </c>
      <c r="J25" s="28">
        <v>7622</v>
      </c>
      <c r="K25" s="28">
        <v>4301</v>
      </c>
      <c r="L25" s="28">
        <v>3587</v>
      </c>
      <c r="M25" s="28">
        <v>590</v>
      </c>
      <c r="N25" s="28">
        <f t="shared" si="0"/>
        <v>67423</v>
      </c>
    </row>
    <row r="26" spans="1:14">
      <c r="A26" s="16">
        <v>1977</v>
      </c>
      <c r="B26" s="28">
        <v>0</v>
      </c>
      <c r="C26" s="28">
        <v>0</v>
      </c>
      <c r="D26" s="28">
        <v>912</v>
      </c>
      <c r="E26" s="28">
        <v>5455</v>
      </c>
      <c r="F26" s="28">
        <v>2703</v>
      </c>
      <c r="G26" s="28">
        <v>3982</v>
      </c>
      <c r="H26" s="28">
        <v>16690</v>
      </c>
      <c r="I26" s="28">
        <v>13472</v>
      </c>
      <c r="J26" s="28">
        <v>67</v>
      </c>
      <c r="K26" s="28">
        <v>0</v>
      </c>
      <c r="L26" s="28">
        <v>0</v>
      </c>
      <c r="M26" s="28">
        <v>0</v>
      </c>
      <c r="N26" s="28">
        <f t="shared" si="0"/>
        <v>43281</v>
      </c>
    </row>
    <row r="27" spans="1:14">
      <c r="A27" s="16">
        <v>1978</v>
      </c>
      <c r="B27" s="28">
        <v>0</v>
      </c>
      <c r="C27" s="28">
        <v>0</v>
      </c>
      <c r="D27" s="28">
        <v>0</v>
      </c>
      <c r="E27" s="28">
        <v>0</v>
      </c>
      <c r="F27" s="28">
        <v>159</v>
      </c>
      <c r="G27" s="28">
        <v>4077</v>
      </c>
      <c r="H27" s="28">
        <v>15411</v>
      </c>
      <c r="I27" s="28">
        <v>4317</v>
      </c>
      <c r="J27" s="28">
        <v>1940</v>
      </c>
      <c r="K27" s="28">
        <v>0</v>
      </c>
      <c r="L27" s="28">
        <v>0</v>
      </c>
      <c r="M27" s="28">
        <v>0</v>
      </c>
      <c r="N27" s="28">
        <f t="shared" si="0"/>
        <v>25904</v>
      </c>
    </row>
    <row r="28" spans="1:14">
      <c r="A28" s="16">
        <v>1979</v>
      </c>
      <c r="B28" s="28">
        <v>0</v>
      </c>
      <c r="C28" s="28">
        <v>0</v>
      </c>
      <c r="D28" s="28">
        <v>0</v>
      </c>
      <c r="E28" s="28">
        <v>0</v>
      </c>
      <c r="F28" s="28">
        <v>1365</v>
      </c>
      <c r="G28" s="28">
        <v>2405</v>
      </c>
      <c r="H28" s="28">
        <v>1779</v>
      </c>
      <c r="I28" s="28">
        <v>2833</v>
      </c>
      <c r="J28" s="28">
        <v>4823</v>
      </c>
      <c r="K28" s="28">
        <v>2876</v>
      </c>
      <c r="L28" s="28">
        <v>0</v>
      </c>
      <c r="M28" s="28">
        <v>0</v>
      </c>
      <c r="N28" s="28">
        <f t="shared" si="0"/>
        <v>16081</v>
      </c>
    </row>
    <row r="29" spans="1:14">
      <c r="A29" s="16">
        <v>1980</v>
      </c>
      <c r="B29" s="28">
        <v>0</v>
      </c>
      <c r="C29" s="28">
        <v>0</v>
      </c>
      <c r="D29" s="28">
        <v>0</v>
      </c>
      <c r="E29" s="28">
        <v>0</v>
      </c>
      <c r="F29" s="28">
        <v>916</v>
      </c>
      <c r="G29" s="28">
        <v>2265</v>
      </c>
      <c r="H29" s="28">
        <v>12649</v>
      </c>
      <c r="I29" s="28">
        <v>22487</v>
      </c>
      <c r="J29" s="28">
        <v>3501</v>
      </c>
      <c r="K29" s="28">
        <v>0</v>
      </c>
      <c r="L29" s="28">
        <v>0</v>
      </c>
      <c r="M29" s="28">
        <v>0</v>
      </c>
      <c r="N29" s="28">
        <f t="shared" si="0"/>
        <v>41818</v>
      </c>
    </row>
    <row r="30" spans="1:14">
      <c r="A30" s="16">
        <v>1981</v>
      </c>
      <c r="B30" s="28">
        <v>0</v>
      </c>
      <c r="C30" s="28">
        <v>0</v>
      </c>
      <c r="D30" s="28">
        <v>319</v>
      </c>
      <c r="E30" s="28">
        <v>3849</v>
      </c>
      <c r="F30" s="28">
        <v>3461</v>
      </c>
      <c r="G30" s="28">
        <v>2764</v>
      </c>
      <c r="H30" s="28">
        <v>12149</v>
      </c>
      <c r="I30" s="28">
        <v>4431</v>
      </c>
      <c r="J30" s="28">
        <v>690</v>
      </c>
      <c r="K30" s="28">
        <v>0</v>
      </c>
      <c r="L30" s="28">
        <v>0</v>
      </c>
      <c r="M30" s="28">
        <v>0</v>
      </c>
      <c r="N30" s="28">
        <f t="shared" si="0"/>
        <v>27663</v>
      </c>
    </row>
    <row r="31" spans="1:14">
      <c r="A31" s="16">
        <v>1982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548</v>
      </c>
      <c r="H31" s="28">
        <v>4967</v>
      </c>
      <c r="I31" s="28">
        <v>4648</v>
      </c>
      <c r="J31" s="28">
        <v>1145</v>
      </c>
      <c r="K31" s="28">
        <v>0</v>
      </c>
      <c r="L31" s="28">
        <v>0</v>
      </c>
      <c r="M31" s="28">
        <v>0</v>
      </c>
      <c r="N31" s="28">
        <f t="shared" si="0"/>
        <v>11308</v>
      </c>
    </row>
    <row r="32" spans="1:14">
      <c r="A32" s="16">
        <v>1983</v>
      </c>
      <c r="B32" s="28">
        <v>0</v>
      </c>
      <c r="C32" s="28">
        <v>0</v>
      </c>
      <c r="D32" s="28">
        <v>0</v>
      </c>
      <c r="E32" s="28">
        <v>3356</v>
      </c>
      <c r="F32" s="28">
        <v>12112</v>
      </c>
      <c r="G32" s="28">
        <v>4023</v>
      </c>
      <c r="H32" s="28">
        <v>13476</v>
      </c>
      <c r="I32" s="28">
        <v>18230</v>
      </c>
      <c r="J32" s="28">
        <v>6387</v>
      </c>
      <c r="K32" s="28">
        <v>520</v>
      </c>
      <c r="L32" s="28">
        <v>0</v>
      </c>
      <c r="M32" s="28">
        <v>0</v>
      </c>
      <c r="N32" s="28">
        <f t="shared" si="0"/>
        <v>58104</v>
      </c>
    </row>
    <row r="33" spans="1:14">
      <c r="A33" s="16">
        <v>1984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1332</v>
      </c>
      <c r="H33" s="28">
        <v>10500</v>
      </c>
      <c r="I33" s="28">
        <v>17795</v>
      </c>
      <c r="J33" s="28">
        <v>5916</v>
      </c>
      <c r="K33" s="28">
        <v>6113</v>
      </c>
      <c r="L33" s="28">
        <v>542</v>
      </c>
      <c r="M33" s="28">
        <v>0</v>
      </c>
      <c r="N33" s="28">
        <f t="shared" si="0"/>
        <v>42198</v>
      </c>
    </row>
    <row r="34" spans="1:14">
      <c r="A34" s="16">
        <v>1985</v>
      </c>
      <c r="B34" s="28">
        <v>0</v>
      </c>
      <c r="C34" s="28">
        <v>0</v>
      </c>
      <c r="D34" s="28">
        <v>0</v>
      </c>
      <c r="E34" s="28">
        <v>0</v>
      </c>
      <c r="F34" s="28">
        <v>231</v>
      </c>
      <c r="G34" s="28">
        <v>1926</v>
      </c>
      <c r="H34" s="28">
        <v>11537</v>
      </c>
      <c r="I34" s="28">
        <v>3714</v>
      </c>
      <c r="J34" s="28">
        <v>1815</v>
      </c>
      <c r="K34" s="28">
        <v>0</v>
      </c>
      <c r="L34" s="28">
        <v>0</v>
      </c>
      <c r="M34" s="28">
        <v>0</v>
      </c>
      <c r="N34" s="28">
        <f t="shared" si="0"/>
        <v>19223</v>
      </c>
    </row>
    <row r="35" spans="1:14">
      <c r="A35" s="16">
        <v>1986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2056</v>
      </c>
      <c r="H35" s="28">
        <v>11521</v>
      </c>
      <c r="I35" s="28">
        <v>12607</v>
      </c>
      <c r="J35" s="28">
        <v>903</v>
      </c>
      <c r="K35" s="28">
        <v>0</v>
      </c>
      <c r="L35" s="28">
        <v>0</v>
      </c>
      <c r="M35" s="28">
        <v>0</v>
      </c>
      <c r="N35" s="28">
        <f t="shared" si="0"/>
        <v>27087</v>
      </c>
    </row>
    <row r="36" spans="1:14">
      <c r="A36" s="16">
        <v>1987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3118</v>
      </c>
      <c r="H36" s="28">
        <v>6162</v>
      </c>
      <c r="I36" s="28">
        <v>8694</v>
      </c>
      <c r="J36" s="28">
        <v>1160</v>
      </c>
      <c r="K36" s="28">
        <v>0</v>
      </c>
      <c r="L36" s="28">
        <v>0</v>
      </c>
      <c r="M36" s="28">
        <v>0</v>
      </c>
      <c r="N36" s="28">
        <f t="shared" si="0"/>
        <v>19134</v>
      </c>
    </row>
    <row r="37" spans="1:14">
      <c r="A37" s="16">
        <v>1988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8507</v>
      </c>
      <c r="H37" s="28">
        <v>21548</v>
      </c>
      <c r="I37" s="28">
        <v>7573</v>
      </c>
      <c r="J37" s="28">
        <v>4570</v>
      </c>
      <c r="K37" s="28">
        <v>1383</v>
      </c>
      <c r="L37" s="28">
        <v>0</v>
      </c>
      <c r="M37" s="28">
        <v>0</v>
      </c>
      <c r="N37" s="28">
        <f t="shared" si="0"/>
        <v>43581</v>
      </c>
    </row>
    <row r="38" spans="1:14">
      <c r="A38" s="16">
        <v>1989</v>
      </c>
      <c r="B38" s="28">
        <v>0</v>
      </c>
      <c r="C38" s="28">
        <v>0</v>
      </c>
      <c r="D38" s="28">
        <v>0</v>
      </c>
      <c r="E38" s="28">
        <v>978</v>
      </c>
      <c r="F38" s="28">
        <v>1486</v>
      </c>
      <c r="G38" s="28">
        <v>5923</v>
      </c>
      <c r="H38" s="28">
        <v>7603</v>
      </c>
      <c r="I38" s="28">
        <v>9063</v>
      </c>
      <c r="J38" s="28">
        <v>6526</v>
      </c>
      <c r="K38" s="28">
        <v>244</v>
      </c>
      <c r="L38" s="28">
        <v>0</v>
      </c>
      <c r="M38" s="28">
        <v>0</v>
      </c>
      <c r="N38" s="28">
        <f t="shared" ref="N38:N66" si="1">SUM(B38:M38)</f>
        <v>31823</v>
      </c>
    </row>
    <row r="39" spans="1:14">
      <c r="A39" s="29">
        <v>1990</v>
      </c>
      <c r="B39" s="28">
        <v>0</v>
      </c>
      <c r="C39" s="28">
        <v>1039</v>
      </c>
      <c r="D39" s="28">
        <v>4207</v>
      </c>
      <c r="E39" s="28">
        <v>0</v>
      </c>
      <c r="F39" s="28">
        <v>3141</v>
      </c>
      <c r="G39" s="28">
        <v>1985</v>
      </c>
      <c r="H39" s="28">
        <v>10676</v>
      </c>
      <c r="I39" s="28">
        <v>9439</v>
      </c>
      <c r="J39" s="28">
        <v>7785</v>
      </c>
      <c r="K39" s="28">
        <v>4094</v>
      </c>
      <c r="L39" s="28">
        <v>4122</v>
      </c>
      <c r="M39" s="28">
        <v>2166</v>
      </c>
      <c r="N39" s="28">
        <f t="shared" si="1"/>
        <v>48654</v>
      </c>
    </row>
    <row r="40" spans="1:14">
      <c r="A40" s="16">
        <v>1991</v>
      </c>
      <c r="B40" s="28">
        <v>0</v>
      </c>
      <c r="C40" s="28">
        <v>0</v>
      </c>
      <c r="D40" s="28">
        <v>3475</v>
      </c>
      <c r="E40" s="28">
        <v>4562</v>
      </c>
      <c r="F40" s="28">
        <v>3878</v>
      </c>
      <c r="G40" s="28">
        <v>994</v>
      </c>
      <c r="H40" s="28">
        <v>3280</v>
      </c>
      <c r="I40" s="28">
        <v>4465</v>
      </c>
      <c r="J40" s="28">
        <v>1553</v>
      </c>
      <c r="K40" s="28">
        <v>1982</v>
      </c>
      <c r="L40" s="28">
        <v>3457</v>
      </c>
      <c r="M40" s="28">
        <v>4435</v>
      </c>
      <c r="N40" s="28">
        <f t="shared" si="1"/>
        <v>32081</v>
      </c>
    </row>
    <row r="41" spans="1:14">
      <c r="A41" s="16">
        <v>1992</v>
      </c>
      <c r="B41" s="28">
        <v>4508</v>
      </c>
      <c r="C41" s="28">
        <v>4308</v>
      </c>
      <c r="D41" s="28">
        <v>4669</v>
      </c>
      <c r="E41" s="28">
        <v>4858</v>
      </c>
      <c r="F41" s="28">
        <v>3577</v>
      </c>
      <c r="G41" s="28">
        <v>1998</v>
      </c>
      <c r="H41" s="28">
        <v>1799</v>
      </c>
      <c r="I41" s="28">
        <v>1549</v>
      </c>
      <c r="J41" s="28">
        <v>610</v>
      </c>
      <c r="K41" s="28">
        <v>0</v>
      </c>
      <c r="L41" s="28">
        <v>0</v>
      </c>
      <c r="M41" s="28">
        <v>0</v>
      </c>
      <c r="N41" s="28">
        <f t="shared" si="1"/>
        <v>27876</v>
      </c>
    </row>
    <row r="42" spans="1:14">
      <c r="A42" s="16">
        <v>1993</v>
      </c>
      <c r="B42" s="28">
        <v>0</v>
      </c>
      <c r="C42" s="28">
        <v>0</v>
      </c>
      <c r="D42" s="28">
        <v>0</v>
      </c>
      <c r="E42" s="28">
        <v>0</v>
      </c>
      <c r="F42" s="28">
        <v>328</v>
      </c>
      <c r="G42" s="28">
        <v>676</v>
      </c>
      <c r="H42" s="28">
        <v>1113</v>
      </c>
      <c r="I42" s="28">
        <v>1713</v>
      </c>
      <c r="J42" s="28">
        <v>404</v>
      </c>
      <c r="K42" s="28">
        <v>0</v>
      </c>
      <c r="L42" s="28">
        <v>0</v>
      </c>
      <c r="M42" s="28">
        <v>0</v>
      </c>
      <c r="N42" s="28">
        <f t="shared" si="1"/>
        <v>4234</v>
      </c>
    </row>
    <row r="43" spans="1:14">
      <c r="A43" s="16">
        <v>1994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3536</v>
      </c>
      <c r="H43" s="28">
        <v>7657</v>
      </c>
      <c r="I43" s="28">
        <v>6369</v>
      </c>
      <c r="J43" s="28">
        <v>607</v>
      </c>
      <c r="K43" s="28">
        <v>0</v>
      </c>
      <c r="L43" s="28">
        <v>0</v>
      </c>
      <c r="M43" s="28">
        <v>0</v>
      </c>
      <c r="N43" s="28">
        <f t="shared" si="1"/>
        <v>18169</v>
      </c>
    </row>
    <row r="44" spans="1:14">
      <c r="A44" s="16">
        <v>1995</v>
      </c>
      <c r="B44" s="28">
        <v>3490</v>
      </c>
      <c r="C44" s="28">
        <v>2060</v>
      </c>
      <c r="D44" s="28">
        <v>0</v>
      </c>
      <c r="E44" s="28">
        <v>0</v>
      </c>
      <c r="F44" s="28">
        <v>0</v>
      </c>
      <c r="G44" s="28">
        <v>837</v>
      </c>
      <c r="H44" s="28">
        <v>3813</v>
      </c>
      <c r="I44" s="28">
        <v>10199</v>
      </c>
      <c r="J44" s="28">
        <v>9450</v>
      </c>
      <c r="K44" s="28">
        <v>1990</v>
      </c>
      <c r="L44" s="28">
        <v>0</v>
      </c>
      <c r="M44" s="28">
        <v>0</v>
      </c>
      <c r="N44" s="28">
        <f t="shared" si="1"/>
        <v>31839</v>
      </c>
    </row>
    <row r="45" spans="1:14">
      <c r="A45" s="16">
        <v>1996</v>
      </c>
      <c r="B45" s="28">
        <v>0</v>
      </c>
      <c r="C45" s="28">
        <v>0</v>
      </c>
      <c r="D45" s="28">
        <v>0</v>
      </c>
      <c r="E45" s="28">
        <v>105</v>
      </c>
      <c r="F45" s="28">
        <v>4875</v>
      </c>
      <c r="G45" s="28">
        <v>2207</v>
      </c>
      <c r="H45" s="28">
        <v>14724</v>
      </c>
      <c r="I45" s="28">
        <v>13192</v>
      </c>
      <c r="J45" s="28">
        <v>3746</v>
      </c>
      <c r="K45" s="28">
        <v>0</v>
      </c>
      <c r="L45" s="28">
        <v>0</v>
      </c>
      <c r="M45" s="28">
        <v>0</v>
      </c>
      <c r="N45" s="28">
        <f t="shared" si="1"/>
        <v>38849</v>
      </c>
    </row>
    <row r="46" spans="1:14">
      <c r="A46" s="16">
        <v>1997</v>
      </c>
      <c r="B46" s="28">
        <v>0</v>
      </c>
      <c r="C46" s="28">
        <v>0</v>
      </c>
      <c r="D46" s="28">
        <v>0</v>
      </c>
      <c r="E46" s="28">
        <v>0</v>
      </c>
      <c r="F46" s="28">
        <v>2476</v>
      </c>
      <c r="G46" s="28">
        <v>4180</v>
      </c>
      <c r="H46" s="28">
        <v>7180</v>
      </c>
      <c r="I46" s="28">
        <v>8609</v>
      </c>
      <c r="J46" s="28">
        <v>3731</v>
      </c>
      <c r="K46" s="28">
        <v>3626</v>
      </c>
      <c r="L46" s="28">
        <v>0</v>
      </c>
      <c r="M46" s="28">
        <v>0</v>
      </c>
      <c r="N46" s="28">
        <f t="shared" si="1"/>
        <v>29802</v>
      </c>
    </row>
    <row r="47" spans="1:14">
      <c r="A47" s="16">
        <v>1998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4742</v>
      </c>
      <c r="H47" s="28">
        <v>12075</v>
      </c>
      <c r="I47" s="28">
        <v>7876</v>
      </c>
      <c r="J47" s="28">
        <v>3877</v>
      </c>
      <c r="K47" s="28">
        <v>0</v>
      </c>
      <c r="L47" s="28">
        <v>0</v>
      </c>
      <c r="M47" s="28">
        <v>0</v>
      </c>
      <c r="N47" s="28">
        <f t="shared" si="1"/>
        <v>28570</v>
      </c>
    </row>
    <row r="48" spans="1:14">
      <c r="A48" s="16">
        <v>1999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2888</v>
      </c>
      <c r="H48" s="28">
        <v>7234</v>
      </c>
      <c r="I48" s="28">
        <v>6614</v>
      </c>
      <c r="J48" s="28">
        <v>4115</v>
      </c>
      <c r="K48" s="28">
        <v>0</v>
      </c>
      <c r="L48" s="28">
        <v>0</v>
      </c>
      <c r="M48" s="28">
        <v>0</v>
      </c>
      <c r="N48" s="28">
        <f t="shared" si="1"/>
        <v>20851</v>
      </c>
    </row>
    <row r="49" spans="1:14">
      <c r="A49" s="16">
        <v>2000</v>
      </c>
      <c r="B49" s="28">
        <v>0</v>
      </c>
      <c r="C49" s="28">
        <v>835</v>
      </c>
      <c r="D49" s="28">
        <v>10025</v>
      </c>
      <c r="E49" s="28">
        <v>6825</v>
      </c>
      <c r="F49" s="28">
        <v>1838</v>
      </c>
      <c r="G49" s="28">
        <v>7668</v>
      </c>
      <c r="H49" s="28">
        <v>16875</v>
      </c>
      <c r="I49" s="28">
        <v>14631</v>
      </c>
      <c r="J49" s="28">
        <v>3563</v>
      </c>
      <c r="K49" s="28">
        <v>3130</v>
      </c>
      <c r="L49" s="28">
        <v>4092</v>
      </c>
      <c r="M49" s="28">
        <v>3997</v>
      </c>
      <c r="N49" s="28">
        <f t="shared" si="1"/>
        <v>73479</v>
      </c>
    </row>
    <row r="50" spans="1:14">
      <c r="A50" s="16">
        <v>2001</v>
      </c>
      <c r="B50" s="28">
        <v>4027</v>
      </c>
      <c r="C50" s="28">
        <v>764</v>
      </c>
      <c r="D50" s="28">
        <v>0</v>
      </c>
      <c r="E50" s="28">
        <v>0</v>
      </c>
      <c r="F50" s="28">
        <v>0</v>
      </c>
      <c r="G50" s="28">
        <v>1324</v>
      </c>
      <c r="H50" s="28">
        <v>8933</v>
      </c>
      <c r="I50" s="28">
        <v>4356</v>
      </c>
      <c r="J50" s="28">
        <v>6713</v>
      </c>
      <c r="K50" s="28">
        <v>4792</v>
      </c>
      <c r="L50" s="28">
        <v>0</v>
      </c>
      <c r="M50" s="28">
        <v>0</v>
      </c>
      <c r="N50" s="28">
        <f t="shared" si="1"/>
        <v>30909</v>
      </c>
    </row>
    <row r="51" spans="1:14">
      <c r="A51" s="16">
        <v>2002</v>
      </c>
      <c r="B51" s="28">
        <v>0</v>
      </c>
      <c r="C51" s="28">
        <v>0</v>
      </c>
      <c r="D51" s="28">
        <v>0</v>
      </c>
      <c r="E51" s="28">
        <v>3043</v>
      </c>
      <c r="F51" s="28">
        <v>5470</v>
      </c>
      <c r="G51" s="28">
        <v>1686</v>
      </c>
      <c r="H51" s="28">
        <v>11412</v>
      </c>
      <c r="I51" s="28">
        <v>9023</v>
      </c>
      <c r="J51" s="28">
        <v>2488</v>
      </c>
      <c r="K51" s="28">
        <v>3572</v>
      </c>
      <c r="L51" s="28">
        <v>3878</v>
      </c>
      <c r="M51" s="28">
        <v>3581</v>
      </c>
      <c r="N51" s="28">
        <f t="shared" si="1"/>
        <v>44153</v>
      </c>
    </row>
    <row r="52" spans="1:14">
      <c r="A52" s="16">
        <v>2003</v>
      </c>
      <c r="B52" s="30">
        <v>3355</v>
      </c>
      <c r="C52" s="28">
        <v>1740</v>
      </c>
      <c r="D52" s="28">
        <v>0</v>
      </c>
      <c r="E52" s="28">
        <v>3167</v>
      </c>
      <c r="F52" s="28">
        <v>4232</v>
      </c>
      <c r="G52" s="28">
        <v>1426</v>
      </c>
      <c r="H52" s="28">
        <v>2061</v>
      </c>
      <c r="I52" s="28">
        <v>3288</v>
      </c>
      <c r="J52" s="28">
        <v>1582</v>
      </c>
      <c r="K52" s="28">
        <v>1189</v>
      </c>
      <c r="L52" s="28">
        <v>2006</v>
      </c>
      <c r="M52" s="28">
        <v>2550</v>
      </c>
      <c r="N52" s="28">
        <f t="shared" si="1"/>
        <v>26596</v>
      </c>
    </row>
    <row r="53" spans="1:14">
      <c r="A53" s="16">
        <v>2004</v>
      </c>
      <c r="B53" s="31">
        <v>2685</v>
      </c>
      <c r="C53" s="31">
        <v>1398</v>
      </c>
      <c r="D53" s="31">
        <v>1128</v>
      </c>
      <c r="E53" s="31">
        <v>3776</v>
      </c>
      <c r="F53" s="31">
        <v>2150</v>
      </c>
      <c r="G53" s="31">
        <v>104</v>
      </c>
      <c r="H53" s="31">
        <v>230</v>
      </c>
      <c r="I53" s="31">
        <v>0</v>
      </c>
      <c r="J53" s="31">
        <v>0</v>
      </c>
      <c r="K53" s="31">
        <v>0</v>
      </c>
      <c r="L53" s="31">
        <v>831</v>
      </c>
      <c r="M53" s="32">
        <v>1828</v>
      </c>
      <c r="N53" s="28">
        <f t="shared" si="1"/>
        <v>14130</v>
      </c>
    </row>
    <row r="54" spans="1:14">
      <c r="A54" s="16">
        <v>2005</v>
      </c>
      <c r="B54" s="31">
        <v>1804</v>
      </c>
      <c r="C54" s="31">
        <v>3430</v>
      </c>
      <c r="D54" s="31">
        <v>3950</v>
      </c>
      <c r="E54" s="31">
        <v>5677</v>
      </c>
      <c r="F54" s="31">
        <v>3749</v>
      </c>
      <c r="G54" s="31">
        <v>4164</v>
      </c>
      <c r="H54" s="31">
        <v>0</v>
      </c>
      <c r="I54" s="31">
        <v>1562</v>
      </c>
      <c r="J54" s="31">
        <v>913</v>
      </c>
      <c r="K54" s="31">
        <v>884</v>
      </c>
      <c r="L54" s="31">
        <v>1512</v>
      </c>
      <c r="M54" s="32">
        <v>1620</v>
      </c>
      <c r="N54" s="28">
        <f t="shared" si="1"/>
        <v>29265</v>
      </c>
    </row>
    <row r="55" spans="1:14">
      <c r="A55" s="16">
        <v>2006</v>
      </c>
      <c r="B55" s="31">
        <v>2473.4245000000001</v>
      </c>
      <c r="C55" s="31">
        <v>1967.6320000000001</v>
      </c>
      <c r="D55" s="31">
        <v>2862.1905000000002</v>
      </c>
      <c r="E55" s="31">
        <v>3508.8115000000003</v>
      </c>
      <c r="F55" s="31">
        <v>1003.6510000000001</v>
      </c>
      <c r="G55" s="31">
        <v>478.02350000000001</v>
      </c>
      <c r="H55" s="31">
        <v>1862.5065</v>
      </c>
      <c r="I55" s="31">
        <v>91.241</v>
      </c>
      <c r="J55" s="31">
        <v>398.68349999999998</v>
      </c>
      <c r="K55" s="31">
        <v>872.74</v>
      </c>
      <c r="L55" s="31">
        <v>1610.6020000000001</v>
      </c>
      <c r="M55" s="32">
        <v>1963.665</v>
      </c>
      <c r="N55" s="28">
        <f t="shared" si="1"/>
        <v>19093.170999999998</v>
      </c>
    </row>
    <row r="56" spans="1:14">
      <c r="A56" s="16">
        <v>2007</v>
      </c>
      <c r="B56" s="31">
        <v>2046.972</v>
      </c>
      <c r="C56" s="31">
        <v>4076.0925000000002</v>
      </c>
      <c r="D56" s="31">
        <v>3602.0360000000001</v>
      </c>
      <c r="E56" s="31">
        <v>3941.2145</v>
      </c>
      <c r="F56" s="31">
        <v>4447.0070000000005</v>
      </c>
      <c r="G56" s="31">
        <v>1805.5998850000001</v>
      </c>
      <c r="H56" s="31">
        <v>5318.4775600000003</v>
      </c>
      <c r="I56" s="31">
        <v>5975.3135849999999</v>
      </c>
      <c r="J56" s="31">
        <v>3227.1545000000001</v>
      </c>
      <c r="K56" s="31">
        <v>247.77882</v>
      </c>
      <c r="L56" s="31">
        <v>0</v>
      </c>
      <c r="M56" s="32">
        <v>0</v>
      </c>
      <c r="N56" s="28">
        <f t="shared" si="1"/>
        <v>34687.646349999995</v>
      </c>
    </row>
    <row r="57" spans="1:14">
      <c r="A57" s="16">
        <v>2008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1000</v>
      </c>
      <c r="H57" s="31">
        <v>3799</v>
      </c>
      <c r="I57" s="31">
        <v>2453</v>
      </c>
      <c r="J57" s="31">
        <v>405</v>
      </c>
      <c r="K57" s="31">
        <v>0</v>
      </c>
      <c r="L57" s="31">
        <v>0</v>
      </c>
      <c r="M57" s="32">
        <v>0</v>
      </c>
      <c r="N57" s="28">
        <f t="shared" si="1"/>
        <v>7657</v>
      </c>
    </row>
    <row r="58" spans="1:14">
      <c r="A58" s="16">
        <v>2009</v>
      </c>
      <c r="B58" s="31">
        <v>0</v>
      </c>
      <c r="C58" s="31">
        <v>0</v>
      </c>
      <c r="D58" s="31">
        <v>0</v>
      </c>
      <c r="E58" s="31">
        <v>0</v>
      </c>
      <c r="F58" s="31">
        <v>288</v>
      </c>
      <c r="G58" s="31">
        <v>2571</v>
      </c>
      <c r="H58" s="31">
        <v>4169</v>
      </c>
      <c r="I58" s="31">
        <v>3846</v>
      </c>
      <c r="J58" s="31">
        <v>2781</v>
      </c>
      <c r="K58" s="31">
        <v>3353</v>
      </c>
      <c r="L58" s="31">
        <v>600</v>
      </c>
      <c r="M58" s="32">
        <v>0</v>
      </c>
      <c r="N58" s="28">
        <f t="shared" si="1"/>
        <v>17608</v>
      </c>
    </row>
    <row r="59" spans="1:14">
      <c r="A59" s="16">
        <v>2010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250</v>
      </c>
      <c r="H59" s="31">
        <v>2575</v>
      </c>
      <c r="I59" s="31">
        <v>7668</v>
      </c>
      <c r="J59" s="31">
        <v>7537</v>
      </c>
      <c r="K59" s="31">
        <v>0</v>
      </c>
      <c r="L59" s="31">
        <v>0</v>
      </c>
      <c r="M59" s="32">
        <v>0</v>
      </c>
      <c r="N59" s="28">
        <f t="shared" si="1"/>
        <v>18030</v>
      </c>
    </row>
    <row r="60" spans="1:14">
      <c r="A60" s="16">
        <v>2011</v>
      </c>
      <c r="B60" s="31">
        <v>0</v>
      </c>
      <c r="C60" s="31">
        <v>0</v>
      </c>
      <c r="D60" s="31">
        <v>0</v>
      </c>
      <c r="E60" s="31">
        <v>0</v>
      </c>
      <c r="F60" s="31">
        <v>1974</v>
      </c>
      <c r="G60" s="31">
        <v>876</v>
      </c>
      <c r="H60" s="31">
        <v>2879</v>
      </c>
      <c r="I60" s="31">
        <v>2826</v>
      </c>
      <c r="J60" s="31">
        <v>1761</v>
      </c>
      <c r="K60" s="31">
        <v>0</v>
      </c>
      <c r="L60" s="31">
        <v>0</v>
      </c>
      <c r="M60" s="32">
        <v>0</v>
      </c>
      <c r="N60" s="28">
        <f t="shared" si="1"/>
        <v>10316</v>
      </c>
    </row>
    <row r="61" spans="1:14">
      <c r="A61" s="16">
        <v>2012</v>
      </c>
      <c r="B61" s="28">
        <v>0</v>
      </c>
      <c r="C61" s="28">
        <v>0</v>
      </c>
      <c r="D61" s="28">
        <v>0</v>
      </c>
      <c r="E61" s="28">
        <v>0</v>
      </c>
      <c r="F61" s="28">
        <v>427</v>
      </c>
      <c r="G61" s="28">
        <v>4589</v>
      </c>
      <c r="H61" s="28">
        <v>9458</v>
      </c>
      <c r="I61" s="28">
        <v>12836</v>
      </c>
      <c r="J61" s="28">
        <v>3031</v>
      </c>
      <c r="K61" s="28">
        <v>2047</v>
      </c>
      <c r="L61" s="28">
        <v>2563</v>
      </c>
      <c r="M61" s="28">
        <v>2402</v>
      </c>
      <c r="N61" s="28">
        <f t="shared" si="1"/>
        <v>37353</v>
      </c>
    </row>
    <row r="62" spans="1:14">
      <c r="A62" s="16">
        <v>2013</v>
      </c>
      <c r="B62" s="28">
        <v>2605</v>
      </c>
      <c r="C62" s="28">
        <v>3247</v>
      </c>
      <c r="D62" s="28">
        <v>4936</v>
      </c>
      <c r="E62" s="28">
        <v>1959</v>
      </c>
      <c r="F62" s="28">
        <v>4016</v>
      </c>
      <c r="G62" s="28">
        <v>3249</v>
      </c>
      <c r="H62" s="28">
        <v>4430</v>
      </c>
      <c r="I62" s="28">
        <v>2112</v>
      </c>
      <c r="J62" s="28">
        <v>1654</v>
      </c>
      <c r="K62" s="28">
        <v>240</v>
      </c>
      <c r="L62" s="28">
        <v>674</v>
      </c>
      <c r="M62" s="28">
        <v>9310</v>
      </c>
      <c r="N62" s="28">
        <f t="shared" si="1"/>
        <v>38432</v>
      </c>
    </row>
    <row r="63" spans="1:14">
      <c r="A63" s="16">
        <v>2014</v>
      </c>
      <c r="B63" s="28">
        <v>1495</v>
      </c>
      <c r="C63" s="28">
        <v>0</v>
      </c>
      <c r="D63" s="28">
        <v>1842</v>
      </c>
      <c r="E63" s="28">
        <v>3551</v>
      </c>
      <c r="F63" s="28">
        <v>3041</v>
      </c>
      <c r="G63" s="28">
        <v>3989</v>
      </c>
      <c r="H63" s="28">
        <v>6376</v>
      </c>
      <c r="I63" s="28">
        <v>13861</v>
      </c>
      <c r="J63" s="28">
        <v>1401</v>
      </c>
      <c r="K63" s="28">
        <v>0</v>
      </c>
      <c r="L63" s="28">
        <v>0</v>
      </c>
      <c r="M63" s="28">
        <v>894</v>
      </c>
      <c r="N63" s="28">
        <f t="shared" si="1"/>
        <v>36450</v>
      </c>
    </row>
    <row r="64" spans="1:14">
      <c r="A64" s="16">
        <v>2015</v>
      </c>
      <c r="B64" s="28">
        <v>2282</v>
      </c>
      <c r="C64" s="28">
        <v>2719</v>
      </c>
      <c r="D64" s="28">
        <v>3243</v>
      </c>
      <c r="E64" s="28">
        <v>2741</v>
      </c>
      <c r="F64" s="28">
        <v>120</v>
      </c>
      <c r="G64" s="28">
        <v>687</v>
      </c>
      <c r="H64" s="28">
        <v>3966</v>
      </c>
      <c r="I64" s="28">
        <v>4360</v>
      </c>
      <c r="J64" s="28">
        <v>3718</v>
      </c>
      <c r="K64" s="28">
        <v>2290</v>
      </c>
      <c r="L64" s="28">
        <v>3076</v>
      </c>
      <c r="M64" s="28">
        <v>1331</v>
      </c>
      <c r="N64" s="28">
        <f t="shared" si="1"/>
        <v>30533</v>
      </c>
    </row>
    <row r="65" spans="1:14">
      <c r="A65" s="16">
        <v>2016</v>
      </c>
      <c r="B65" s="28">
        <v>0</v>
      </c>
      <c r="C65" s="28">
        <v>0</v>
      </c>
      <c r="D65" s="28">
        <v>0</v>
      </c>
      <c r="E65" s="28">
        <v>2883</v>
      </c>
      <c r="F65" s="28">
        <v>227</v>
      </c>
      <c r="G65" s="28">
        <v>3315</v>
      </c>
      <c r="H65" s="28">
        <v>4310</v>
      </c>
      <c r="I65" s="28">
        <v>4236</v>
      </c>
      <c r="J65" s="28">
        <v>827</v>
      </c>
      <c r="K65" s="28">
        <v>0</v>
      </c>
      <c r="L65" s="28">
        <v>0</v>
      </c>
      <c r="M65" s="28">
        <v>0</v>
      </c>
      <c r="N65" s="28">
        <f t="shared" si="1"/>
        <v>15798</v>
      </c>
    </row>
    <row r="66" spans="1:14">
      <c r="A66" s="16">
        <v>2017</v>
      </c>
      <c r="B66" s="28">
        <v>0</v>
      </c>
      <c r="C66" s="28">
        <v>0</v>
      </c>
      <c r="D66" s="28">
        <v>0</v>
      </c>
      <c r="E66" s="28">
        <v>0</v>
      </c>
      <c r="F66" s="28">
        <v>844</v>
      </c>
      <c r="G66" s="28">
        <v>1209</v>
      </c>
      <c r="H66" s="28">
        <v>4468</v>
      </c>
      <c r="I66" s="28">
        <v>4367</v>
      </c>
      <c r="J66" s="28">
        <v>3677</v>
      </c>
      <c r="K66" s="28">
        <v>8378</v>
      </c>
      <c r="L66" s="28">
        <v>5065</v>
      </c>
      <c r="M66" s="28">
        <v>112</v>
      </c>
      <c r="N66" s="28">
        <f t="shared" si="1"/>
        <v>28120</v>
      </c>
    </row>
    <row r="67" spans="1:14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>
      <c r="A68" s="33" t="s">
        <v>100</v>
      </c>
      <c r="B68" s="34">
        <f t="shared" ref="B68:N68" si="2">SUM(B6:B66)</f>
        <v>30771.396500000003</v>
      </c>
      <c r="C68" s="34">
        <f t="shared" si="2"/>
        <v>27583.7245</v>
      </c>
      <c r="D68" s="34">
        <f t="shared" si="2"/>
        <v>45170.226500000004</v>
      </c>
      <c r="E68" s="34">
        <f t="shared" si="2"/>
        <v>64634.026000000005</v>
      </c>
      <c r="F68" s="34">
        <f t="shared" si="2"/>
        <v>122892.658</v>
      </c>
      <c r="G68" s="34">
        <f t="shared" si="2"/>
        <v>158931.62338500001</v>
      </c>
      <c r="H68" s="34">
        <f t="shared" si="2"/>
        <v>563730.98406000005</v>
      </c>
      <c r="I68" s="34">
        <f t="shared" si="2"/>
        <v>535590.55458500003</v>
      </c>
      <c r="J68" s="34">
        <f t="shared" si="2"/>
        <v>175439.83800000002</v>
      </c>
      <c r="K68" s="34">
        <f t="shared" si="2"/>
        <v>105107.51882000001</v>
      </c>
      <c r="L68" s="34">
        <f t="shared" si="2"/>
        <v>49629.601999999999</v>
      </c>
      <c r="M68" s="34">
        <f t="shared" si="2"/>
        <v>36779.665000000001</v>
      </c>
      <c r="N68" s="34">
        <f t="shared" si="2"/>
        <v>1916261.8173500001</v>
      </c>
    </row>
    <row r="69" spans="1:14">
      <c r="A69" s="33" t="s">
        <v>101</v>
      </c>
      <c r="B69" s="34">
        <f t="shared" ref="B69:N69" si="3">AVERAGE(B6:B66)</f>
        <v>504.44912295081974</v>
      </c>
      <c r="C69" s="34">
        <f t="shared" si="3"/>
        <v>452.19220491803281</v>
      </c>
      <c r="D69" s="34">
        <f t="shared" si="3"/>
        <v>740.4955163934427</v>
      </c>
      <c r="E69" s="34">
        <f t="shared" si="3"/>
        <v>1059.5741967213116</v>
      </c>
      <c r="F69" s="34">
        <f t="shared" si="3"/>
        <v>2014.6337377049181</v>
      </c>
      <c r="G69" s="34">
        <f t="shared" si="3"/>
        <v>2605.4364489344266</v>
      </c>
      <c r="H69" s="34">
        <f t="shared" si="3"/>
        <v>9241.4915419672143</v>
      </c>
      <c r="I69" s="34">
        <f t="shared" si="3"/>
        <v>8780.1730259836077</v>
      </c>
      <c r="J69" s="34">
        <f t="shared" si="3"/>
        <v>2876.0629180327874</v>
      </c>
      <c r="K69" s="34">
        <f t="shared" si="3"/>
        <v>1723.0740790163936</v>
      </c>
      <c r="L69" s="34">
        <f t="shared" si="3"/>
        <v>813.60003278688521</v>
      </c>
      <c r="M69" s="34">
        <f t="shared" si="3"/>
        <v>602.94532786885247</v>
      </c>
      <c r="N69" s="34">
        <f t="shared" si="3"/>
        <v>31414.128153278692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B1" sqref="B1"/>
    </sheetView>
  </sheetViews>
  <sheetFormatPr defaultRowHeight="12.7"/>
  <sheetData>
    <row r="1" spans="1:14">
      <c r="A1" s="35" t="s">
        <v>102</v>
      </c>
      <c r="B1" s="35" t="s">
        <v>103</v>
      </c>
      <c r="C1" s="35"/>
      <c r="D1" s="35"/>
      <c r="E1" s="35"/>
      <c r="F1" s="35"/>
      <c r="G1" s="35"/>
      <c r="H1" s="35"/>
      <c r="I1" s="35"/>
      <c r="J1" s="35"/>
      <c r="K1" s="36"/>
      <c r="L1" s="35"/>
      <c r="M1" s="35"/>
      <c r="N1" s="35"/>
    </row>
    <row r="2" spans="1:14">
      <c r="A2" s="93" t="s">
        <v>104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>
      <c r="A3" s="93" t="s">
        <v>105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>
      <c r="A4" s="93" t="s">
        <v>106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>
      <c r="A5" s="36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 t="s">
        <v>108</v>
      </c>
    </row>
    <row r="6" spans="1:14">
      <c r="A6" s="37" t="s">
        <v>0</v>
      </c>
      <c r="B6" s="38" t="s">
        <v>7</v>
      </c>
      <c r="C6" s="38" t="s">
        <v>8</v>
      </c>
      <c r="D6" s="38" t="s">
        <v>9</v>
      </c>
      <c r="E6" s="38" t="s">
        <v>10</v>
      </c>
      <c r="F6" s="38" t="s">
        <v>11</v>
      </c>
      <c r="G6" s="38" t="s">
        <v>12</v>
      </c>
      <c r="H6" s="38" t="s">
        <v>13</v>
      </c>
      <c r="I6" s="38" t="s">
        <v>14</v>
      </c>
      <c r="J6" s="38" t="s">
        <v>15</v>
      </c>
      <c r="K6" s="38" t="s">
        <v>16</v>
      </c>
      <c r="L6" s="38" t="s">
        <v>17</v>
      </c>
      <c r="M6" s="38" t="s">
        <v>18</v>
      </c>
      <c r="N6" s="38" t="s">
        <v>99</v>
      </c>
    </row>
    <row r="7" spans="1:14">
      <c r="A7" s="39">
        <v>1958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1035</v>
      </c>
      <c r="I7" s="40">
        <v>819</v>
      </c>
      <c r="J7" s="40">
        <v>3432</v>
      </c>
      <c r="K7" s="40">
        <v>401</v>
      </c>
      <c r="L7" s="40">
        <v>0</v>
      </c>
      <c r="M7" s="40">
        <v>0</v>
      </c>
      <c r="N7" s="40">
        <f t="shared" ref="N7:N66" si="0">SUM(B7:M7)</f>
        <v>5687</v>
      </c>
    </row>
    <row r="8" spans="1:14">
      <c r="A8" s="36">
        <v>1959</v>
      </c>
      <c r="B8" s="41">
        <v>0</v>
      </c>
      <c r="C8" s="41">
        <v>0</v>
      </c>
      <c r="D8" s="41">
        <v>0</v>
      </c>
      <c r="E8" s="41">
        <v>0</v>
      </c>
      <c r="F8" s="41">
        <v>865</v>
      </c>
      <c r="G8" s="41">
        <v>1228</v>
      </c>
      <c r="H8" s="41">
        <v>9721</v>
      </c>
      <c r="I8" s="41">
        <v>13005</v>
      </c>
      <c r="J8" s="41">
        <v>1569</v>
      </c>
      <c r="K8" s="41">
        <v>0</v>
      </c>
      <c r="L8" s="41">
        <v>0</v>
      </c>
      <c r="M8" s="41">
        <v>0</v>
      </c>
      <c r="N8" s="41">
        <f t="shared" si="0"/>
        <v>26388</v>
      </c>
    </row>
    <row r="9" spans="1:14">
      <c r="A9" s="36">
        <v>1960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966</v>
      </c>
      <c r="H9" s="41">
        <v>13313</v>
      </c>
      <c r="I9" s="41">
        <v>11171</v>
      </c>
      <c r="J9" s="41">
        <v>1079</v>
      </c>
      <c r="K9" s="41">
        <v>0</v>
      </c>
      <c r="L9" s="41">
        <v>0</v>
      </c>
      <c r="M9" s="41">
        <v>0</v>
      </c>
      <c r="N9" s="41">
        <f t="shared" si="0"/>
        <v>26529</v>
      </c>
    </row>
    <row r="10" spans="1:14">
      <c r="A10" s="36">
        <v>1961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938</v>
      </c>
      <c r="H10" s="41">
        <v>11169</v>
      </c>
      <c r="I10" s="41">
        <v>12454</v>
      </c>
      <c r="J10" s="41">
        <v>3542</v>
      </c>
      <c r="K10" s="41">
        <v>0</v>
      </c>
      <c r="L10" s="41">
        <v>0</v>
      </c>
      <c r="M10" s="41">
        <v>0</v>
      </c>
      <c r="N10" s="41">
        <f t="shared" si="0"/>
        <v>28103</v>
      </c>
    </row>
    <row r="11" spans="1:14">
      <c r="A11" s="36">
        <v>1962</v>
      </c>
      <c r="B11" s="41">
        <v>0</v>
      </c>
      <c r="C11" s="41">
        <v>0</v>
      </c>
      <c r="D11" s="41">
        <v>0</v>
      </c>
      <c r="E11" s="41">
        <v>0</v>
      </c>
      <c r="F11" s="41">
        <v>538</v>
      </c>
      <c r="G11" s="41">
        <v>1252</v>
      </c>
      <c r="H11" s="41">
        <v>9124</v>
      </c>
      <c r="I11" s="41">
        <v>14366</v>
      </c>
      <c r="J11" s="41">
        <v>936</v>
      </c>
      <c r="K11" s="41">
        <v>0</v>
      </c>
      <c r="L11" s="41">
        <v>0</v>
      </c>
      <c r="M11" s="41">
        <v>0</v>
      </c>
      <c r="N11" s="41">
        <f t="shared" si="0"/>
        <v>26216</v>
      </c>
    </row>
    <row r="12" spans="1:14">
      <c r="A12" s="36">
        <v>1963</v>
      </c>
      <c r="B12" s="41">
        <v>0</v>
      </c>
      <c r="C12" s="41">
        <v>0</v>
      </c>
      <c r="D12" s="41">
        <v>0</v>
      </c>
      <c r="E12" s="41">
        <v>258</v>
      </c>
      <c r="F12" s="41">
        <v>908</v>
      </c>
      <c r="G12" s="41">
        <v>2902</v>
      </c>
      <c r="H12" s="41">
        <v>22413</v>
      </c>
      <c r="I12" s="41">
        <v>12908</v>
      </c>
      <c r="J12" s="41">
        <v>933</v>
      </c>
      <c r="K12" s="41">
        <v>0</v>
      </c>
      <c r="L12" s="41">
        <v>0</v>
      </c>
      <c r="M12" s="41">
        <v>0</v>
      </c>
      <c r="N12" s="41">
        <f t="shared" si="0"/>
        <v>40322</v>
      </c>
    </row>
    <row r="13" spans="1:14">
      <c r="A13" s="36">
        <v>1964</v>
      </c>
      <c r="B13" s="41">
        <v>0</v>
      </c>
      <c r="C13" s="41">
        <v>0</v>
      </c>
      <c r="D13" s="41">
        <v>0</v>
      </c>
      <c r="E13" s="41">
        <v>0</v>
      </c>
      <c r="F13" s="41">
        <v>1482</v>
      </c>
      <c r="G13" s="41">
        <v>3761</v>
      </c>
      <c r="H13" s="41">
        <v>25398</v>
      </c>
      <c r="I13" s="41">
        <v>13591</v>
      </c>
      <c r="J13" s="41">
        <v>1018</v>
      </c>
      <c r="K13" s="41">
        <v>0</v>
      </c>
      <c r="L13" s="41">
        <v>0</v>
      </c>
      <c r="M13" s="41">
        <v>0</v>
      </c>
      <c r="N13" s="41">
        <f t="shared" si="0"/>
        <v>45250</v>
      </c>
    </row>
    <row r="14" spans="1:14">
      <c r="A14" s="36">
        <v>1965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2321</v>
      </c>
      <c r="H14" s="41">
        <v>19999</v>
      </c>
      <c r="I14" s="41">
        <v>16724</v>
      </c>
      <c r="J14" s="41">
        <v>502</v>
      </c>
      <c r="K14" s="41">
        <v>0</v>
      </c>
      <c r="L14" s="41">
        <v>0</v>
      </c>
      <c r="M14" s="41">
        <v>0</v>
      </c>
      <c r="N14" s="41">
        <f t="shared" si="0"/>
        <v>39546</v>
      </c>
    </row>
    <row r="15" spans="1:14">
      <c r="A15" s="36">
        <v>1966</v>
      </c>
      <c r="B15" s="41">
        <v>0</v>
      </c>
      <c r="C15" s="41">
        <v>0</v>
      </c>
      <c r="D15" s="41">
        <v>0</v>
      </c>
      <c r="E15" s="41">
        <v>0</v>
      </c>
      <c r="F15" s="41">
        <v>4506</v>
      </c>
      <c r="G15" s="41">
        <v>4748</v>
      </c>
      <c r="H15" s="41">
        <v>22637</v>
      </c>
      <c r="I15" s="41">
        <v>10574</v>
      </c>
      <c r="J15" s="41">
        <v>1099</v>
      </c>
      <c r="K15" s="41">
        <v>0</v>
      </c>
      <c r="L15" s="41">
        <v>0</v>
      </c>
      <c r="M15" s="41">
        <v>0</v>
      </c>
      <c r="N15" s="41">
        <f t="shared" si="0"/>
        <v>43564</v>
      </c>
    </row>
    <row r="16" spans="1:14">
      <c r="A16" s="36">
        <v>1967</v>
      </c>
      <c r="B16" s="41">
        <v>0</v>
      </c>
      <c r="C16" s="41">
        <v>0</v>
      </c>
      <c r="D16" s="41">
        <v>0</v>
      </c>
      <c r="E16" s="41">
        <v>0</v>
      </c>
      <c r="F16" s="41">
        <v>714</v>
      </c>
      <c r="G16" s="41">
        <v>1029</v>
      </c>
      <c r="H16" s="41">
        <v>14067</v>
      </c>
      <c r="I16" s="41">
        <v>25160</v>
      </c>
      <c r="J16" s="41">
        <v>1484</v>
      </c>
      <c r="K16" s="41">
        <v>0</v>
      </c>
      <c r="L16" s="41">
        <v>0</v>
      </c>
      <c r="M16" s="41">
        <v>0</v>
      </c>
      <c r="N16" s="41">
        <f t="shared" si="0"/>
        <v>42454</v>
      </c>
    </row>
    <row r="17" spans="1:14">
      <c r="A17" s="36">
        <v>1968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1440</v>
      </c>
      <c r="H17" s="41">
        <v>27884</v>
      </c>
      <c r="I17" s="41">
        <v>5732</v>
      </c>
      <c r="J17" s="41">
        <v>0</v>
      </c>
      <c r="K17" s="41">
        <v>0</v>
      </c>
      <c r="L17" s="41">
        <v>0</v>
      </c>
      <c r="M17" s="41">
        <v>0</v>
      </c>
      <c r="N17" s="41">
        <f t="shared" si="0"/>
        <v>35056</v>
      </c>
    </row>
    <row r="18" spans="1:14">
      <c r="A18" s="36">
        <v>1969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1686</v>
      </c>
      <c r="H18" s="41">
        <v>11722</v>
      </c>
      <c r="I18" s="41">
        <v>19964</v>
      </c>
      <c r="J18" s="41">
        <v>664</v>
      </c>
      <c r="K18" s="41">
        <v>0</v>
      </c>
      <c r="L18" s="41">
        <v>0</v>
      </c>
      <c r="M18" s="41">
        <v>0</v>
      </c>
      <c r="N18" s="41">
        <f t="shared" si="0"/>
        <v>34036</v>
      </c>
    </row>
    <row r="19" spans="1:14">
      <c r="A19" s="36">
        <v>1970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2682</v>
      </c>
      <c r="H19" s="41">
        <v>32543</v>
      </c>
      <c r="I19" s="41">
        <v>18859</v>
      </c>
      <c r="J19" s="41">
        <v>357</v>
      </c>
      <c r="K19" s="41">
        <v>0</v>
      </c>
      <c r="L19" s="41">
        <v>0</v>
      </c>
      <c r="M19" s="41">
        <v>0</v>
      </c>
      <c r="N19" s="41">
        <f t="shared" si="0"/>
        <v>54441</v>
      </c>
    </row>
    <row r="20" spans="1:14">
      <c r="A20" s="36">
        <v>1971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4832</v>
      </c>
      <c r="H20" s="41">
        <v>20624</v>
      </c>
      <c r="I20" s="41">
        <v>19543</v>
      </c>
      <c r="J20" s="41">
        <v>2202</v>
      </c>
      <c r="K20" s="41">
        <v>0</v>
      </c>
      <c r="L20" s="41">
        <v>0</v>
      </c>
      <c r="M20" s="41">
        <v>0</v>
      </c>
      <c r="N20" s="41">
        <f t="shared" si="0"/>
        <v>47201</v>
      </c>
    </row>
    <row r="21" spans="1:14">
      <c r="A21" s="36">
        <v>1972</v>
      </c>
      <c r="B21" s="41">
        <v>0</v>
      </c>
      <c r="C21" s="41">
        <v>0</v>
      </c>
      <c r="D21" s="41">
        <v>0</v>
      </c>
      <c r="E21" s="41">
        <v>0</v>
      </c>
      <c r="F21" s="41">
        <v>442</v>
      </c>
      <c r="G21" s="41">
        <v>2662</v>
      </c>
      <c r="H21" s="41">
        <v>18039</v>
      </c>
      <c r="I21" s="41">
        <v>11171</v>
      </c>
      <c r="J21" s="41">
        <v>44</v>
      </c>
      <c r="K21" s="41">
        <v>0</v>
      </c>
      <c r="L21" s="41">
        <v>0</v>
      </c>
      <c r="M21" s="41">
        <v>0</v>
      </c>
      <c r="N21" s="41">
        <f t="shared" si="0"/>
        <v>32358</v>
      </c>
    </row>
    <row r="22" spans="1:14">
      <c r="A22" s="36">
        <v>1973</v>
      </c>
      <c r="B22" s="41">
        <v>0</v>
      </c>
      <c r="C22" s="41">
        <v>0</v>
      </c>
      <c r="D22" s="41">
        <v>0</v>
      </c>
      <c r="E22" s="41">
        <v>0</v>
      </c>
      <c r="F22" s="41">
        <v>365</v>
      </c>
      <c r="G22" s="41">
        <v>4197</v>
      </c>
      <c r="H22" s="41">
        <v>12843</v>
      </c>
      <c r="I22" s="41">
        <v>11960</v>
      </c>
      <c r="J22" s="41">
        <v>841</v>
      </c>
      <c r="K22" s="41">
        <v>0</v>
      </c>
      <c r="L22" s="41">
        <v>0</v>
      </c>
      <c r="M22" s="41">
        <v>0</v>
      </c>
      <c r="N22" s="41">
        <f t="shared" si="0"/>
        <v>30206</v>
      </c>
    </row>
    <row r="23" spans="1:14">
      <c r="A23" s="36">
        <v>1974</v>
      </c>
      <c r="B23" s="41">
        <v>0</v>
      </c>
      <c r="C23" s="41">
        <v>0</v>
      </c>
      <c r="D23" s="41">
        <v>0</v>
      </c>
      <c r="E23" s="41">
        <v>0</v>
      </c>
      <c r="F23" s="41">
        <v>357</v>
      </c>
      <c r="G23" s="41">
        <v>7135</v>
      </c>
      <c r="H23" s="41">
        <v>34429</v>
      </c>
      <c r="I23" s="41">
        <v>8672</v>
      </c>
      <c r="J23" s="41">
        <v>879</v>
      </c>
      <c r="K23" s="41">
        <v>0</v>
      </c>
      <c r="L23" s="41">
        <v>0</v>
      </c>
      <c r="M23" s="41">
        <v>0</v>
      </c>
      <c r="N23" s="41">
        <f t="shared" si="0"/>
        <v>51472</v>
      </c>
    </row>
    <row r="24" spans="1:14">
      <c r="A24" s="36">
        <v>1975</v>
      </c>
      <c r="B24" s="41">
        <v>0</v>
      </c>
      <c r="C24" s="41">
        <v>0</v>
      </c>
      <c r="D24" s="41">
        <v>0</v>
      </c>
      <c r="E24" s="41">
        <v>184</v>
      </c>
      <c r="F24" s="41">
        <v>1978</v>
      </c>
      <c r="G24" s="41">
        <v>2227</v>
      </c>
      <c r="H24" s="41">
        <v>28948</v>
      </c>
      <c r="I24" s="41">
        <v>17433</v>
      </c>
      <c r="J24" s="41">
        <v>885</v>
      </c>
      <c r="K24" s="41">
        <v>0</v>
      </c>
      <c r="L24" s="41">
        <v>0</v>
      </c>
      <c r="M24" s="41">
        <v>0</v>
      </c>
      <c r="N24" s="41">
        <f t="shared" si="0"/>
        <v>51655</v>
      </c>
    </row>
    <row r="25" spans="1:14">
      <c r="A25" s="36">
        <v>1976</v>
      </c>
      <c r="B25" s="41">
        <v>0</v>
      </c>
      <c r="C25" s="41">
        <v>0</v>
      </c>
      <c r="D25" s="41">
        <v>0</v>
      </c>
      <c r="E25" s="41">
        <v>0</v>
      </c>
      <c r="F25" s="41">
        <v>1482</v>
      </c>
      <c r="G25" s="41">
        <v>7870</v>
      </c>
      <c r="H25" s="41">
        <v>33092</v>
      </c>
      <c r="I25" s="41">
        <v>26075</v>
      </c>
      <c r="J25" s="41">
        <v>3273</v>
      </c>
      <c r="K25" s="41">
        <v>0</v>
      </c>
      <c r="L25" s="41">
        <v>0</v>
      </c>
      <c r="M25" s="41">
        <v>0</v>
      </c>
      <c r="N25" s="41">
        <f t="shared" si="0"/>
        <v>71792</v>
      </c>
    </row>
    <row r="26" spans="1:14">
      <c r="A26" s="36">
        <v>1977</v>
      </c>
      <c r="B26" s="41">
        <v>0</v>
      </c>
      <c r="C26" s="41">
        <v>0</v>
      </c>
      <c r="D26" s="41">
        <v>0</v>
      </c>
      <c r="E26" s="41">
        <v>0</v>
      </c>
      <c r="F26" s="41">
        <v>1095</v>
      </c>
      <c r="G26" s="41">
        <v>3786</v>
      </c>
      <c r="H26" s="41">
        <v>29457</v>
      </c>
      <c r="I26" s="41">
        <v>5230</v>
      </c>
      <c r="J26" s="41">
        <v>0</v>
      </c>
      <c r="K26" s="41">
        <v>0</v>
      </c>
      <c r="L26" s="41">
        <v>0</v>
      </c>
      <c r="M26" s="41">
        <v>0</v>
      </c>
      <c r="N26" s="41">
        <f t="shared" si="0"/>
        <v>39568</v>
      </c>
    </row>
    <row r="27" spans="1:14">
      <c r="A27" s="36">
        <v>1978</v>
      </c>
      <c r="B27" s="41">
        <v>0</v>
      </c>
      <c r="C27" s="41">
        <v>0</v>
      </c>
      <c r="D27" s="41">
        <v>0</v>
      </c>
      <c r="E27" s="41">
        <v>415</v>
      </c>
      <c r="F27" s="41">
        <v>1238</v>
      </c>
      <c r="G27" s="41">
        <v>3717</v>
      </c>
      <c r="H27" s="41">
        <v>19632</v>
      </c>
      <c r="I27" s="41">
        <v>16431</v>
      </c>
      <c r="J27" s="41">
        <v>3864</v>
      </c>
      <c r="K27" s="41">
        <v>0</v>
      </c>
      <c r="L27" s="41">
        <v>0</v>
      </c>
      <c r="M27" s="41">
        <v>0</v>
      </c>
      <c r="N27" s="41">
        <f t="shared" si="0"/>
        <v>45297</v>
      </c>
    </row>
    <row r="28" spans="1:14">
      <c r="A28" s="36">
        <v>1979</v>
      </c>
      <c r="B28" s="41">
        <v>0</v>
      </c>
      <c r="C28" s="41">
        <v>0</v>
      </c>
      <c r="D28" s="41">
        <v>0</v>
      </c>
      <c r="E28" s="41">
        <v>0</v>
      </c>
      <c r="F28" s="41">
        <v>534</v>
      </c>
      <c r="G28" s="41">
        <v>1458</v>
      </c>
      <c r="H28" s="41">
        <v>9679</v>
      </c>
      <c r="I28" s="41">
        <v>22245</v>
      </c>
      <c r="J28" s="41">
        <v>2374</v>
      </c>
      <c r="K28" s="41">
        <v>0</v>
      </c>
      <c r="L28" s="41">
        <v>0</v>
      </c>
      <c r="M28" s="41">
        <v>0</v>
      </c>
      <c r="N28" s="41">
        <f t="shared" si="0"/>
        <v>36290</v>
      </c>
    </row>
    <row r="29" spans="1:14">
      <c r="A29" s="36">
        <v>1980</v>
      </c>
      <c r="B29" s="41">
        <v>0</v>
      </c>
      <c r="C29" s="41">
        <v>0</v>
      </c>
      <c r="D29" s="41">
        <v>0</v>
      </c>
      <c r="E29" s="41">
        <v>0</v>
      </c>
      <c r="F29" s="41">
        <v>1384</v>
      </c>
      <c r="G29" s="41">
        <v>4138</v>
      </c>
      <c r="H29" s="41">
        <v>34707</v>
      </c>
      <c r="I29" s="41">
        <v>14479</v>
      </c>
      <c r="J29" s="41">
        <v>1315</v>
      </c>
      <c r="K29" s="41">
        <v>0</v>
      </c>
      <c r="L29" s="41">
        <v>0</v>
      </c>
      <c r="M29" s="41">
        <v>0</v>
      </c>
      <c r="N29" s="41">
        <f t="shared" si="0"/>
        <v>56023</v>
      </c>
    </row>
    <row r="30" spans="1:14">
      <c r="A30" s="36">
        <v>1981</v>
      </c>
      <c r="B30" s="41">
        <v>0</v>
      </c>
      <c r="C30" s="41">
        <v>0</v>
      </c>
      <c r="D30" s="41">
        <v>0</v>
      </c>
      <c r="E30" s="41">
        <v>0</v>
      </c>
      <c r="F30" s="41">
        <v>1523</v>
      </c>
      <c r="G30" s="41">
        <v>7884</v>
      </c>
      <c r="H30" s="41">
        <v>16697</v>
      </c>
      <c r="I30" s="41">
        <v>6573</v>
      </c>
      <c r="J30" s="41">
        <v>1387</v>
      </c>
      <c r="K30" s="41">
        <v>0</v>
      </c>
      <c r="L30" s="41">
        <v>0</v>
      </c>
      <c r="M30" s="41">
        <v>0</v>
      </c>
      <c r="N30" s="41">
        <f t="shared" si="0"/>
        <v>34064</v>
      </c>
    </row>
    <row r="31" spans="1:14">
      <c r="A31" s="36">
        <v>1982</v>
      </c>
      <c r="B31" s="41">
        <v>0</v>
      </c>
      <c r="C31" s="41">
        <v>0</v>
      </c>
      <c r="D31" s="41">
        <v>0</v>
      </c>
      <c r="E31" s="41">
        <v>0</v>
      </c>
      <c r="F31" s="41">
        <v>599</v>
      </c>
      <c r="G31" s="41">
        <v>1932</v>
      </c>
      <c r="H31" s="41">
        <v>17437</v>
      </c>
      <c r="I31" s="41">
        <v>17958</v>
      </c>
      <c r="J31" s="41">
        <v>1117</v>
      </c>
      <c r="K31" s="41">
        <v>0</v>
      </c>
      <c r="L31" s="41">
        <v>0</v>
      </c>
      <c r="M31" s="41">
        <v>0</v>
      </c>
      <c r="N31" s="41">
        <f t="shared" si="0"/>
        <v>39043</v>
      </c>
    </row>
    <row r="32" spans="1:14">
      <c r="A32" s="36">
        <v>1983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2731</v>
      </c>
      <c r="H32" s="41">
        <v>30434</v>
      </c>
      <c r="I32" s="41">
        <v>21899</v>
      </c>
      <c r="J32" s="41">
        <v>3626</v>
      </c>
      <c r="K32" s="41">
        <v>0</v>
      </c>
      <c r="L32" s="41">
        <v>0</v>
      </c>
      <c r="M32" s="41">
        <v>0</v>
      </c>
      <c r="N32" s="41">
        <f t="shared" si="0"/>
        <v>58690</v>
      </c>
    </row>
    <row r="33" spans="1:14">
      <c r="A33" s="36">
        <v>1984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1616</v>
      </c>
      <c r="H33" s="41">
        <v>29445</v>
      </c>
      <c r="I33" s="41">
        <v>20646</v>
      </c>
      <c r="J33" s="41">
        <v>3390</v>
      </c>
      <c r="K33" s="41">
        <v>0</v>
      </c>
      <c r="L33" s="41">
        <v>0</v>
      </c>
      <c r="M33" s="41">
        <v>0</v>
      </c>
      <c r="N33" s="41">
        <f t="shared" si="0"/>
        <v>55097</v>
      </c>
    </row>
    <row r="34" spans="1:14">
      <c r="A34" s="36">
        <v>1985</v>
      </c>
      <c r="B34" s="41">
        <v>0</v>
      </c>
      <c r="C34" s="41">
        <v>0</v>
      </c>
      <c r="D34" s="41">
        <v>0</v>
      </c>
      <c r="E34" s="41">
        <v>0</v>
      </c>
      <c r="F34" s="41">
        <v>760</v>
      </c>
      <c r="G34" s="41">
        <v>5613</v>
      </c>
      <c r="H34" s="41">
        <v>24264</v>
      </c>
      <c r="I34" s="41">
        <v>4310</v>
      </c>
      <c r="J34" s="41">
        <v>2255</v>
      </c>
      <c r="K34" s="41">
        <v>0</v>
      </c>
      <c r="L34" s="41">
        <v>0</v>
      </c>
      <c r="M34" s="41">
        <v>0</v>
      </c>
      <c r="N34" s="41">
        <f t="shared" si="0"/>
        <v>37202</v>
      </c>
    </row>
    <row r="35" spans="1:14">
      <c r="A35" s="36">
        <v>1986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13163</v>
      </c>
      <c r="H35" s="41">
        <v>21426</v>
      </c>
      <c r="I35" s="41">
        <v>7541</v>
      </c>
      <c r="J35" s="41">
        <v>79</v>
      </c>
      <c r="K35" s="41">
        <v>0</v>
      </c>
      <c r="L35" s="41">
        <v>0</v>
      </c>
      <c r="M35" s="41">
        <v>0</v>
      </c>
      <c r="N35" s="41">
        <f t="shared" si="0"/>
        <v>42209</v>
      </c>
    </row>
    <row r="36" spans="1:14">
      <c r="A36" s="36">
        <v>1987</v>
      </c>
      <c r="B36" s="41">
        <v>0</v>
      </c>
      <c r="C36" s="41">
        <v>0</v>
      </c>
      <c r="D36" s="41">
        <v>0</v>
      </c>
      <c r="E36" s="41">
        <v>428</v>
      </c>
      <c r="F36" s="41">
        <v>161</v>
      </c>
      <c r="G36" s="41">
        <v>7272</v>
      </c>
      <c r="H36" s="41">
        <v>23798</v>
      </c>
      <c r="I36" s="41">
        <v>11044</v>
      </c>
      <c r="J36" s="41">
        <v>914</v>
      </c>
      <c r="K36" s="41">
        <v>0</v>
      </c>
      <c r="L36" s="41">
        <v>0</v>
      </c>
      <c r="M36" s="41">
        <v>0</v>
      </c>
      <c r="N36" s="41">
        <f t="shared" si="0"/>
        <v>43617</v>
      </c>
    </row>
    <row r="37" spans="1:14">
      <c r="A37" s="36">
        <v>1988</v>
      </c>
      <c r="B37" s="41">
        <v>0</v>
      </c>
      <c r="C37" s="41">
        <v>0</v>
      </c>
      <c r="D37" s="41">
        <v>0</v>
      </c>
      <c r="E37" s="41">
        <v>0</v>
      </c>
      <c r="F37" s="41">
        <v>480</v>
      </c>
      <c r="G37" s="41">
        <v>18492</v>
      </c>
      <c r="H37" s="41">
        <v>18068</v>
      </c>
      <c r="I37" s="41">
        <v>17651</v>
      </c>
      <c r="J37" s="41">
        <v>2555</v>
      </c>
      <c r="K37" s="41">
        <v>0</v>
      </c>
      <c r="L37" s="41">
        <v>0</v>
      </c>
      <c r="M37" s="41">
        <v>0</v>
      </c>
      <c r="N37" s="41">
        <f t="shared" si="0"/>
        <v>57246</v>
      </c>
    </row>
    <row r="38" spans="1:14">
      <c r="A38" s="36">
        <v>1989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4908</v>
      </c>
      <c r="H38" s="41">
        <v>23098</v>
      </c>
      <c r="I38" s="41">
        <v>15491</v>
      </c>
      <c r="J38" s="41">
        <v>208</v>
      </c>
      <c r="K38" s="41">
        <v>0</v>
      </c>
      <c r="L38" s="41">
        <v>0</v>
      </c>
      <c r="M38" s="41">
        <v>0</v>
      </c>
      <c r="N38" s="41">
        <f t="shared" si="0"/>
        <v>43705</v>
      </c>
    </row>
    <row r="39" spans="1:14">
      <c r="A39" s="42">
        <v>1990</v>
      </c>
      <c r="B39" s="41">
        <v>0</v>
      </c>
      <c r="C39" s="41">
        <v>0</v>
      </c>
      <c r="D39" s="41">
        <v>0</v>
      </c>
      <c r="E39" s="41">
        <v>0</v>
      </c>
      <c r="F39" s="41">
        <v>611</v>
      </c>
      <c r="G39" s="41">
        <v>4388</v>
      </c>
      <c r="H39" s="41">
        <v>24044</v>
      </c>
      <c r="I39" s="41">
        <v>20004</v>
      </c>
      <c r="J39" s="41">
        <v>6117</v>
      </c>
      <c r="K39" s="41">
        <v>0</v>
      </c>
      <c r="L39" s="41">
        <v>0</v>
      </c>
      <c r="M39" s="41">
        <v>0</v>
      </c>
      <c r="N39" s="41">
        <f t="shared" si="0"/>
        <v>55164</v>
      </c>
    </row>
    <row r="40" spans="1:14">
      <c r="A40" s="36">
        <v>1991</v>
      </c>
      <c r="B40" s="41">
        <v>0</v>
      </c>
      <c r="C40" s="41">
        <v>0</v>
      </c>
      <c r="D40" s="41">
        <v>0</v>
      </c>
      <c r="E40" s="41">
        <v>0</v>
      </c>
      <c r="F40" s="41">
        <v>867</v>
      </c>
      <c r="G40" s="41">
        <v>10772</v>
      </c>
      <c r="H40" s="41">
        <v>22348</v>
      </c>
      <c r="I40" s="41">
        <v>9273</v>
      </c>
      <c r="J40" s="41">
        <v>0</v>
      </c>
      <c r="K40" s="41">
        <v>0</v>
      </c>
      <c r="L40" s="41">
        <v>0</v>
      </c>
      <c r="M40" s="41">
        <v>0</v>
      </c>
      <c r="N40" s="41">
        <f t="shared" si="0"/>
        <v>43260</v>
      </c>
    </row>
    <row r="41" spans="1:14">
      <c r="A41" s="36">
        <v>1992</v>
      </c>
      <c r="B41" s="41">
        <v>0</v>
      </c>
      <c r="C41" s="41">
        <v>0</v>
      </c>
      <c r="D41" s="41">
        <v>0</v>
      </c>
      <c r="E41" s="41">
        <v>0</v>
      </c>
      <c r="F41" s="36">
        <v>0</v>
      </c>
      <c r="G41" s="41">
        <v>3297</v>
      </c>
      <c r="H41" s="41">
        <v>5401</v>
      </c>
      <c r="I41" s="41">
        <v>3332</v>
      </c>
      <c r="J41" s="41">
        <v>44</v>
      </c>
      <c r="K41" s="41">
        <v>0</v>
      </c>
      <c r="L41" s="41">
        <v>0</v>
      </c>
      <c r="M41" s="41">
        <v>0</v>
      </c>
      <c r="N41" s="41">
        <f t="shared" si="0"/>
        <v>12074</v>
      </c>
    </row>
    <row r="42" spans="1:14">
      <c r="A42" s="36">
        <v>1993</v>
      </c>
      <c r="B42" s="41">
        <v>0</v>
      </c>
      <c r="C42" s="41">
        <v>0</v>
      </c>
      <c r="D42" s="41">
        <v>0</v>
      </c>
      <c r="E42" s="41">
        <v>0</v>
      </c>
      <c r="F42" s="41">
        <v>726</v>
      </c>
      <c r="G42" s="41">
        <v>2823</v>
      </c>
      <c r="H42" s="41">
        <v>5881</v>
      </c>
      <c r="I42" s="41">
        <v>7541</v>
      </c>
      <c r="J42" s="41">
        <v>446</v>
      </c>
      <c r="K42" s="41">
        <v>0</v>
      </c>
      <c r="L42" s="41">
        <v>0</v>
      </c>
      <c r="M42" s="41">
        <v>0</v>
      </c>
      <c r="N42" s="41">
        <f t="shared" si="0"/>
        <v>17417</v>
      </c>
    </row>
    <row r="43" spans="1:14">
      <c r="A43" s="36">
        <v>1994</v>
      </c>
      <c r="B43" s="41">
        <v>0</v>
      </c>
      <c r="C43" s="41">
        <v>0</v>
      </c>
      <c r="D43" s="41">
        <v>0</v>
      </c>
      <c r="E43" s="41">
        <v>0</v>
      </c>
      <c r="F43" s="41">
        <v>1254</v>
      </c>
      <c r="G43" s="41">
        <v>7744</v>
      </c>
      <c r="H43" s="41">
        <v>11560</v>
      </c>
      <c r="I43" s="41">
        <v>19706</v>
      </c>
      <c r="J43" s="41">
        <v>97</v>
      </c>
      <c r="K43" s="41">
        <v>0</v>
      </c>
      <c r="L43" s="41">
        <v>0</v>
      </c>
      <c r="M43" s="41">
        <v>0</v>
      </c>
      <c r="N43" s="41">
        <f t="shared" si="0"/>
        <v>40361</v>
      </c>
    </row>
    <row r="44" spans="1:14">
      <c r="A44" s="36">
        <v>1995</v>
      </c>
      <c r="B44" s="41">
        <v>0</v>
      </c>
      <c r="C44" s="41">
        <v>0</v>
      </c>
      <c r="D44" s="41">
        <v>0</v>
      </c>
      <c r="E44" s="41">
        <v>0</v>
      </c>
      <c r="F44" s="41">
        <v>484</v>
      </c>
      <c r="G44" s="41">
        <v>2176</v>
      </c>
      <c r="H44" s="41">
        <v>18839</v>
      </c>
      <c r="I44" s="41">
        <v>19603</v>
      </c>
      <c r="J44" s="41">
        <v>5391</v>
      </c>
      <c r="K44" s="41">
        <v>0</v>
      </c>
      <c r="L44" s="41">
        <v>0</v>
      </c>
      <c r="M44" s="41">
        <v>0</v>
      </c>
      <c r="N44" s="41">
        <f t="shared" si="0"/>
        <v>46493</v>
      </c>
    </row>
    <row r="45" spans="1:14">
      <c r="A45" s="36">
        <v>1996</v>
      </c>
      <c r="B45" s="41">
        <v>0</v>
      </c>
      <c r="C45" s="41">
        <v>0</v>
      </c>
      <c r="D45" s="41">
        <v>0</v>
      </c>
      <c r="E45" s="41">
        <v>0</v>
      </c>
      <c r="F45" s="41">
        <v>424</v>
      </c>
      <c r="G45" s="41">
        <v>13049</v>
      </c>
      <c r="H45" s="41">
        <v>17219</v>
      </c>
      <c r="I45" s="41">
        <v>14737</v>
      </c>
      <c r="J45" s="41">
        <v>1517</v>
      </c>
      <c r="K45" s="41">
        <v>0</v>
      </c>
      <c r="L45" s="41">
        <v>0</v>
      </c>
      <c r="M45" s="41">
        <v>0</v>
      </c>
      <c r="N45" s="41">
        <f t="shared" si="0"/>
        <v>46946</v>
      </c>
    </row>
    <row r="46" spans="1:14">
      <c r="A46" s="36">
        <v>1997</v>
      </c>
      <c r="B46" s="41">
        <v>0</v>
      </c>
      <c r="C46" s="41">
        <v>0</v>
      </c>
      <c r="D46" s="41">
        <v>0</v>
      </c>
      <c r="E46" s="41">
        <v>0</v>
      </c>
      <c r="F46" s="41">
        <v>607</v>
      </c>
      <c r="G46" s="41">
        <v>6514</v>
      </c>
      <c r="H46" s="41">
        <v>24679</v>
      </c>
      <c r="I46" s="41">
        <v>15204</v>
      </c>
      <c r="J46" s="41">
        <v>1827</v>
      </c>
      <c r="K46" s="41">
        <v>0</v>
      </c>
      <c r="L46" s="41">
        <v>0</v>
      </c>
      <c r="M46" s="41">
        <v>0</v>
      </c>
      <c r="N46" s="41">
        <f t="shared" si="0"/>
        <v>48831</v>
      </c>
    </row>
    <row r="47" spans="1:14">
      <c r="A47" s="36">
        <v>1998</v>
      </c>
      <c r="B47" s="41">
        <v>0</v>
      </c>
      <c r="C47" s="41">
        <v>0</v>
      </c>
      <c r="D47" s="41">
        <v>0</v>
      </c>
      <c r="E47" s="41">
        <v>0</v>
      </c>
      <c r="F47" s="41">
        <v>369</v>
      </c>
      <c r="G47" s="41">
        <v>12347</v>
      </c>
      <c r="H47" s="41">
        <v>19286</v>
      </c>
      <c r="I47" s="41">
        <v>14912</v>
      </c>
      <c r="J47" s="41">
        <v>2144</v>
      </c>
      <c r="K47" s="41">
        <v>0</v>
      </c>
      <c r="L47" s="41">
        <v>0</v>
      </c>
      <c r="M47" s="41">
        <v>0</v>
      </c>
      <c r="N47" s="41">
        <f t="shared" si="0"/>
        <v>49058</v>
      </c>
    </row>
    <row r="48" spans="1:14">
      <c r="A48" s="36">
        <v>1999</v>
      </c>
      <c r="B48" s="41">
        <v>0</v>
      </c>
      <c r="C48" s="41">
        <v>0</v>
      </c>
      <c r="D48" s="41">
        <v>0</v>
      </c>
      <c r="E48" s="41">
        <v>0</v>
      </c>
      <c r="F48" s="41">
        <v>246</v>
      </c>
      <c r="G48" s="41">
        <v>5461</v>
      </c>
      <c r="H48" s="41">
        <v>26946</v>
      </c>
      <c r="I48" s="41">
        <v>13831</v>
      </c>
      <c r="J48" s="41">
        <v>3086</v>
      </c>
      <c r="K48" s="41">
        <v>0</v>
      </c>
      <c r="L48" s="41">
        <v>0</v>
      </c>
      <c r="M48" s="41">
        <v>0</v>
      </c>
      <c r="N48" s="41">
        <f t="shared" si="0"/>
        <v>49570</v>
      </c>
    </row>
    <row r="49" spans="1:14">
      <c r="A49" s="36">
        <v>2000</v>
      </c>
      <c r="B49" s="41">
        <v>0</v>
      </c>
      <c r="C49" s="41">
        <v>0</v>
      </c>
      <c r="D49" s="41">
        <v>0</v>
      </c>
      <c r="E49" s="41">
        <v>0</v>
      </c>
      <c r="F49" s="41">
        <v>2033</v>
      </c>
      <c r="G49" s="41">
        <v>15007</v>
      </c>
      <c r="H49" s="41">
        <v>24088</v>
      </c>
      <c r="I49" s="41">
        <v>21327</v>
      </c>
      <c r="J49" s="41">
        <v>290</v>
      </c>
      <c r="K49" s="41">
        <v>0</v>
      </c>
      <c r="L49" s="41">
        <v>0</v>
      </c>
      <c r="M49" s="41">
        <v>0</v>
      </c>
      <c r="N49" s="41">
        <f t="shared" si="0"/>
        <v>62745</v>
      </c>
    </row>
    <row r="50" spans="1:14">
      <c r="A50" s="36">
        <v>2001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6748</v>
      </c>
      <c r="H50" s="41">
        <v>16166</v>
      </c>
      <c r="I50" s="41">
        <v>20619</v>
      </c>
      <c r="J50" s="41">
        <v>3711</v>
      </c>
      <c r="K50" s="41">
        <v>0</v>
      </c>
      <c r="L50" s="41">
        <v>0</v>
      </c>
      <c r="M50" s="41">
        <v>0</v>
      </c>
      <c r="N50" s="41">
        <f t="shared" si="0"/>
        <v>47244</v>
      </c>
    </row>
    <row r="51" spans="1:14">
      <c r="A51" s="36">
        <v>2002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9697</v>
      </c>
      <c r="H51" s="41">
        <v>24676</v>
      </c>
      <c r="I51" s="41">
        <v>12184</v>
      </c>
      <c r="J51" s="41">
        <v>0</v>
      </c>
      <c r="K51" s="41">
        <v>0</v>
      </c>
      <c r="L51" s="41">
        <v>0</v>
      </c>
      <c r="M51" s="41">
        <v>0</v>
      </c>
      <c r="N51" s="41">
        <f t="shared" si="0"/>
        <v>46557</v>
      </c>
    </row>
    <row r="52" spans="1:14">
      <c r="A52" s="36">
        <v>2003</v>
      </c>
      <c r="B52" s="41">
        <v>0</v>
      </c>
      <c r="C52" s="41">
        <v>0</v>
      </c>
      <c r="D52" s="41">
        <v>0</v>
      </c>
      <c r="E52" s="41">
        <v>0</v>
      </c>
      <c r="F52" s="41">
        <v>472</v>
      </c>
      <c r="G52" s="41">
        <v>3647</v>
      </c>
      <c r="H52" s="41">
        <v>19015</v>
      </c>
      <c r="I52" s="41">
        <v>12472</v>
      </c>
      <c r="J52" s="41">
        <v>0</v>
      </c>
      <c r="K52" s="41">
        <v>0</v>
      </c>
      <c r="L52" s="41">
        <v>0</v>
      </c>
      <c r="M52" s="41">
        <v>0</v>
      </c>
      <c r="N52" s="41">
        <f t="shared" si="0"/>
        <v>35606</v>
      </c>
    </row>
    <row r="53" spans="1:14">
      <c r="A53" s="36">
        <v>2004</v>
      </c>
      <c r="B53" s="41">
        <v>0</v>
      </c>
      <c r="C53" s="41">
        <v>0</v>
      </c>
      <c r="D53" s="41">
        <v>0</v>
      </c>
      <c r="E53" s="41">
        <v>0</v>
      </c>
      <c r="F53" s="41">
        <v>982</v>
      </c>
      <c r="G53" s="41">
        <v>1417</v>
      </c>
      <c r="H53" s="41">
        <v>9713</v>
      </c>
      <c r="I53" s="41">
        <v>18022</v>
      </c>
      <c r="J53" s="41">
        <v>0</v>
      </c>
      <c r="K53" s="41">
        <v>0</v>
      </c>
      <c r="L53" s="41">
        <v>0</v>
      </c>
      <c r="M53" s="41">
        <v>0</v>
      </c>
      <c r="N53" s="41">
        <f t="shared" si="0"/>
        <v>30134</v>
      </c>
    </row>
    <row r="54" spans="1:14">
      <c r="A54" s="36">
        <v>2005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4310</v>
      </c>
      <c r="H54" s="41">
        <v>14572</v>
      </c>
      <c r="I54" s="41">
        <v>7034</v>
      </c>
      <c r="J54" s="41">
        <v>0</v>
      </c>
      <c r="K54" s="41">
        <v>0</v>
      </c>
      <c r="L54" s="41">
        <v>0</v>
      </c>
      <c r="M54" s="41">
        <v>0</v>
      </c>
      <c r="N54" s="41">
        <f t="shared" si="0"/>
        <v>25916</v>
      </c>
    </row>
    <row r="55" spans="1:14">
      <c r="A55" s="36">
        <v>2006</v>
      </c>
      <c r="B55" s="41">
        <v>0</v>
      </c>
      <c r="C55" s="41">
        <v>0</v>
      </c>
      <c r="D55" s="41">
        <v>0</v>
      </c>
      <c r="E55" s="41">
        <v>0</v>
      </c>
      <c r="F55" s="41">
        <v>492</v>
      </c>
      <c r="G55" s="41">
        <v>4796</v>
      </c>
      <c r="H55" s="41">
        <v>13730</v>
      </c>
      <c r="I55" s="41">
        <v>8833</v>
      </c>
      <c r="J55" s="41">
        <v>0</v>
      </c>
      <c r="K55" s="41">
        <v>0</v>
      </c>
      <c r="L55" s="41">
        <v>0</v>
      </c>
      <c r="M55" s="41">
        <v>0</v>
      </c>
      <c r="N55" s="41">
        <f t="shared" si="0"/>
        <v>27851</v>
      </c>
    </row>
    <row r="56" spans="1:14">
      <c r="A56" s="36">
        <v>2007</v>
      </c>
      <c r="B56" s="41">
        <v>0</v>
      </c>
      <c r="C56" s="41">
        <v>0</v>
      </c>
      <c r="D56" s="41">
        <v>0</v>
      </c>
      <c r="E56" s="41">
        <v>0</v>
      </c>
      <c r="F56" s="41">
        <v>1895</v>
      </c>
      <c r="G56" s="41">
        <v>4637</v>
      </c>
      <c r="H56" s="41">
        <v>15064</v>
      </c>
      <c r="I56" s="41">
        <v>13505</v>
      </c>
      <c r="J56" s="41">
        <v>0</v>
      </c>
      <c r="K56" s="41">
        <v>0</v>
      </c>
      <c r="L56" s="41">
        <v>0</v>
      </c>
      <c r="M56" s="41">
        <v>0</v>
      </c>
      <c r="N56" s="41">
        <f t="shared" si="0"/>
        <v>35101</v>
      </c>
    </row>
    <row r="57" spans="1:14">
      <c r="A57" s="36">
        <v>2008</v>
      </c>
      <c r="B57" s="41">
        <v>0</v>
      </c>
      <c r="C57" s="41">
        <v>0</v>
      </c>
      <c r="D57" s="41">
        <v>0</v>
      </c>
      <c r="E57" s="41">
        <v>0</v>
      </c>
      <c r="F57" s="41">
        <v>415</v>
      </c>
      <c r="G57" s="41">
        <v>3280</v>
      </c>
      <c r="H57" s="41">
        <v>11816</v>
      </c>
      <c r="I57" s="41">
        <v>13319</v>
      </c>
      <c r="J57" s="41">
        <v>1186</v>
      </c>
      <c r="K57" s="41">
        <v>0</v>
      </c>
      <c r="L57" s="41">
        <v>0</v>
      </c>
      <c r="M57" s="41">
        <v>0</v>
      </c>
      <c r="N57" s="41">
        <f t="shared" si="0"/>
        <v>30016</v>
      </c>
    </row>
    <row r="58" spans="1:14">
      <c r="A58" s="36">
        <v>2009</v>
      </c>
      <c r="B58" s="41">
        <v>0</v>
      </c>
      <c r="C58" s="41">
        <v>0</v>
      </c>
      <c r="D58" s="41">
        <v>0</v>
      </c>
      <c r="E58" s="41">
        <v>0</v>
      </c>
      <c r="F58" s="41">
        <v>728</v>
      </c>
      <c r="G58" s="41">
        <v>5850</v>
      </c>
      <c r="H58" s="41">
        <v>13772</v>
      </c>
      <c r="I58" s="41">
        <v>13710</v>
      </c>
      <c r="J58" s="41">
        <v>1571</v>
      </c>
      <c r="K58" s="41">
        <v>0</v>
      </c>
      <c r="L58" s="41">
        <v>0</v>
      </c>
      <c r="M58" s="41">
        <v>0</v>
      </c>
      <c r="N58" s="41">
        <f t="shared" si="0"/>
        <v>35631</v>
      </c>
    </row>
    <row r="59" spans="1:14">
      <c r="A59" s="36">
        <v>2010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1866</v>
      </c>
      <c r="H59" s="41">
        <v>16466</v>
      </c>
      <c r="I59" s="41">
        <v>15331</v>
      </c>
      <c r="J59" s="41">
        <v>4380</v>
      </c>
      <c r="K59" s="41">
        <v>0</v>
      </c>
      <c r="L59" s="41">
        <v>0</v>
      </c>
      <c r="M59" s="41">
        <v>0</v>
      </c>
      <c r="N59" s="41">
        <f t="shared" si="0"/>
        <v>38043</v>
      </c>
    </row>
    <row r="60" spans="1:14">
      <c r="A60" s="36">
        <v>2011</v>
      </c>
      <c r="B60" s="41">
        <v>0</v>
      </c>
      <c r="C60" s="41">
        <v>0</v>
      </c>
      <c r="D60" s="41">
        <v>0</v>
      </c>
      <c r="E60" s="41">
        <v>0</v>
      </c>
      <c r="F60" s="41">
        <v>349</v>
      </c>
      <c r="G60" s="41">
        <v>6015</v>
      </c>
      <c r="H60" s="41">
        <v>15860</v>
      </c>
      <c r="I60" s="41">
        <v>9387</v>
      </c>
      <c r="J60" s="41">
        <v>4572</v>
      </c>
      <c r="K60" s="41">
        <v>0</v>
      </c>
      <c r="L60" s="41">
        <v>0</v>
      </c>
      <c r="M60" s="41">
        <v>0</v>
      </c>
      <c r="N60" s="41">
        <f t="shared" si="0"/>
        <v>36183</v>
      </c>
    </row>
    <row r="61" spans="1:14">
      <c r="A61" s="36">
        <v>2012</v>
      </c>
      <c r="B61" s="41">
        <v>0</v>
      </c>
      <c r="C61" s="41">
        <v>0</v>
      </c>
      <c r="D61" s="41">
        <v>0</v>
      </c>
      <c r="E61" s="41">
        <v>350</v>
      </c>
      <c r="F61" s="41">
        <v>3966</v>
      </c>
      <c r="G61" s="41">
        <v>12741</v>
      </c>
      <c r="H61" s="41">
        <v>17329</v>
      </c>
      <c r="I61" s="41">
        <v>15692</v>
      </c>
      <c r="J61" s="41">
        <v>0</v>
      </c>
      <c r="K61" s="41">
        <v>0</v>
      </c>
      <c r="L61" s="41">
        <v>0</v>
      </c>
      <c r="M61" s="41">
        <v>0</v>
      </c>
      <c r="N61" s="41">
        <f t="shared" si="0"/>
        <v>50078</v>
      </c>
    </row>
    <row r="62" spans="1:14">
      <c r="A62" s="36">
        <v>2013</v>
      </c>
      <c r="B62" s="41">
        <v>0</v>
      </c>
      <c r="C62" s="41">
        <v>0</v>
      </c>
      <c r="D62" s="41">
        <v>0</v>
      </c>
      <c r="E62" s="41">
        <v>0</v>
      </c>
      <c r="F62" s="41">
        <v>369</v>
      </c>
      <c r="G62" s="41">
        <v>7124</v>
      </c>
      <c r="H62" s="41">
        <v>17703</v>
      </c>
      <c r="I62" s="41">
        <v>9097</v>
      </c>
      <c r="J62" s="41">
        <v>5846</v>
      </c>
      <c r="K62" s="41">
        <v>0</v>
      </c>
      <c r="L62" s="41">
        <v>0</v>
      </c>
      <c r="M62" s="41">
        <v>0</v>
      </c>
      <c r="N62" s="41">
        <f t="shared" si="0"/>
        <v>40139</v>
      </c>
    </row>
    <row r="63" spans="1:14">
      <c r="A63" s="36">
        <v>2014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2933</v>
      </c>
      <c r="H63" s="41">
        <v>16642</v>
      </c>
      <c r="I63" s="41">
        <v>11899</v>
      </c>
      <c r="J63" s="41">
        <v>634</v>
      </c>
      <c r="K63" s="41">
        <v>0</v>
      </c>
      <c r="L63" s="41">
        <v>0</v>
      </c>
      <c r="M63" s="41">
        <v>0</v>
      </c>
      <c r="N63" s="41">
        <f t="shared" si="0"/>
        <v>32108</v>
      </c>
    </row>
    <row r="64" spans="1:14">
      <c r="A64" s="36">
        <v>2015</v>
      </c>
      <c r="B64" s="41">
        <v>0</v>
      </c>
      <c r="C64" s="41">
        <v>0</v>
      </c>
      <c r="D64" s="41">
        <v>0</v>
      </c>
      <c r="E64" s="41">
        <v>0</v>
      </c>
      <c r="F64" s="41">
        <v>385</v>
      </c>
      <c r="G64" s="41">
        <v>3709</v>
      </c>
      <c r="H64" s="41">
        <v>11268</v>
      </c>
      <c r="I64" s="41">
        <v>11378</v>
      </c>
      <c r="J64" s="41">
        <v>4804</v>
      </c>
      <c r="K64" s="41">
        <v>0</v>
      </c>
      <c r="L64" s="41">
        <v>0</v>
      </c>
      <c r="M64" s="41">
        <v>0</v>
      </c>
      <c r="N64" s="41">
        <f t="shared" si="0"/>
        <v>31544</v>
      </c>
    </row>
    <row r="65" spans="1:14">
      <c r="A65" s="36">
        <v>2016</v>
      </c>
      <c r="B65" s="41">
        <v>0</v>
      </c>
      <c r="C65" s="41">
        <v>0</v>
      </c>
      <c r="D65" s="41">
        <v>0</v>
      </c>
      <c r="E65" s="41">
        <v>0</v>
      </c>
      <c r="F65" s="41">
        <v>731</v>
      </c>
      <c r="G65" s="41">
        <v>7631</v>
      </c>
      <c r="H65" s="41">
        <v>11923</v>
      </c>
      <c r="I65" s="41">
        <v>7852</v>
      </c>
      <c r="J65" s="41">
        <v>734</v>
      </c>
      <c r="K65" s="41">
        <v>0</v>
      </c>
      <c r="L65" s="41">
        <v>0</v>
      </c>
      <c r="M65" s="41">
        <v>0</v>
      </c>
      <c r="N65" s="41">
        <f t="shared" si="0"/>
        <v>28871</v>
      </c>
    </row>
    <row r="66" spans="1:14">
      <c r="A66" s="36">
        <v>2017</v>
      </c>
      <c r="B66" s="41">
        <v>0</v>
      </c>
      <c r="C66" s="41">
        <v>0</v>
      </c>
      <c r="D66" s="41">
        <v>0</v>
      </c>
      <c r="E66" s="41">
        <v>0</v>
      </c>
      <c r="F66" s="41">
        <v>1648</v>
      </c>
      <c r="G66" s="41">
        <v>7056</v>
      </c>
      <c r="H66" s="41">
        <v>12865</v>
      </c>
      <c r="I66" s="41">
        <v>11300</v>
      </c>
      <c r="J66" s="41">
        <v>5131</v>
      </c>
      <c r="K66" s="41">
        <v>0</v>
      </c>
      <c r="L66" s="41">
        <v>0</v>
      </c>
      <c r="M66" s="41">
        <v>0</v>
      </c>
      <c r="N66" s="41">
        <f t="shared" si="0"/>
        <v>38000</v>
      </c>
    </row>
  </sheetData>
  <mergeCells count="3">
    <mergeCell ref="A2:N2"/>
    <mergeCell ref="A3:N3"/>
    <mergeCell ref="A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H24" sqref="H24"/>
    </sheetView>
  </sheetViews>
  <sheetFormatPr defaultRowHeight="12.7"/>
  <sheetData>
    <row r="1" spans="1:14">
      <c r="A1" s="10" t="s">
        <v>118</v>
      </c>
    </row>
    <row r="5" spans="1:14" ht="13" thickBot="1">
      <c r="A5" s="46" t="s">
        <v>5</v>
      </c>
      <c r="B5" s="46" t="s">
        <v>119</v>
      </c>
      <c r="C5" s="46" t="s">
        <v>120</v>
      </c>
      <c r="D5" s="46" t="s">
        <v>121</v>
      </c>
      <c r="E5" s="46" t="s">
        <v>122</v>
      </c>
      <c r="F5" s="46" t="s">
        <v>123</v>
      </c>
      <c r="G5" s="46" t="s">
        <v>124</v>
      </c>
      <c r="H5" s="46" t="s">
        <v>125</v>
      </c>
      <c r="I5" s="46" t="s">
        <v>126</v>
      </c>
      <c r="J5" s="46" t="s">
        <v>127</v>
      </c>
      <c r="K5" s="46" t="s">
        <v>128</v>
      </c>
      <c r="L5" s="46" t="s">
        <v>129</v>
      </c>
      <c r="M5" s="46" t="s">
        <v>130</v>
      </c>
      <c r="N5" s="46" t="s">
        <v>131</v>
      </c>
    </row>
    <row r="6" spans="1:14" ht="13" thickTop="1">
      <c r="A6" s="47">
        <v>1957</v>
      </c>
      <c r="B6" s="48"/>
      <c r="C6" s="48"/>
      <c r="D6" s="48"/>
      <c r="E6" s="48"/>
      <c r="F6" s="48"/>
      <c r="G6" s="48">
        <v>17605</v>
      </c>
      <c r="H6" s="48">
        <v>6720</v>
      </c>
      <c r="I6" s="48">
        <v>1273</v>
      </c>
      <c r="J6" s="48">
        <v>908</v>
      </c>
      <c r="K6" s="48">
        <v>0</v>
      </c>
      <c r="L6" s="48">
        <v>0</v>
      </c>
      <c r="M6" s="48">
        <v>0</v>
      </c>
      <c r="N6" s="48">
        <f t="shared" ref="N6:N37" si="0">SUM(B6:M6)</f>
        <v>26506</v>
      </c>
    </row>
    <row r="7" spans="1:14">
      <c r="A7" s="49">
        <v>1958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1018</v>
      </c>
      <c r="H7" s="50">
        <v>840</v>
      </c>
      <c r="I7" s="50">
        <v>3794</v>
      </c>
      <c r="J7" s="50">
        <v>10360</v>
      </c>
      <c r="K7" s="50">
        <v>8</v>
      </c>
      <c r="L7" s="50">
        <v>0</v>
      </c>
      <c r="M7" s="50">
        <v>0</v>
      </c>
      <c r="N7" s="50">
        <f t="shared" si="0"/>
        <v>16020</v>
      </c>
    </row>
    <row r="8" spans="1:14">
      <c r="A8" s="49">
        <v>1959</v>
      </c>
      <c r="B8" s="50">
        <v>0</v>
      </c>
      <c r="C8" s="50">
        <v>0</v>
      </c>
      <c r="D8" s="50">
        <v>0</v>
      </c>
      <c r="E8" s="50">
        <v>32</v>
      </c>
      <c r="F8" s="50">
        <v>9158</v>
      </c>
      <c r="G8" s="50">
        <v>2201</v>
      </c>
      <c r="H8" s="50">
        <v>8946</v>
      </c>
      <c r="I8" s="50">
        <v>11864</v>
      </c>
      <c r="J8" s="50">
        <v>1696</v>
      </c>
      <c r="K8" s="50">
        <v>0</v>
      </c>
      <c r="L8" s="50">
        <v>0</v>
      </c>
      <c r="M8" s="50">
        <v>0</v>
      </c>
      <c r="N8" s="50">
        <f t="shared" si="0"/>
        <v>33897</v>
      </c>
    </row>
    <row r="9" spans="1:14">
      <c r="A9" s="49">
        <v>1960</v>
      </c>
      <c r="B9" s="50">
        <v>0</v>
      </c>
      <c r="C9" s="50">
        <v>1550</v>
      </c>
      <c r="D9" s="50">
        <v>1180</v>
      </c>
      <c r="E9" s="50">
        <v>8880</v>
      </c>
      <c r="F9" s="50">
        <v>3376</v>
      </c>
      <c r="G9" s="50">
        <v>5830</v>
      </c>
      <c r="H9" s="50">
        <v>19248</v>
      </c>
      <c r="I9" s="50">
        <v>12918</v>
      </c>
      <c r="J9" s="50">
        <v>4358</v>
      </c>
      <c r="K9" s="50">
        <v>0</v>
      </c>
      <c r="L9" s="50">
        <v>0</v>
      </c>
      <c r="M9" s="50">
        <v>0</v>
      </c>
      <c r="N9" s="50">
        <f t="shared" si="0"/>
        <v>57340</v>
      </c>
    </row>
    <row r="10" spans="1:14">
      <c r="A10" s="49">
        <v>1961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23560</v>
      </c>
      <c r="H10" s="50">
        <v>12728</v>
      </c>
      <c r="I10" s="50">
        <v>13286</v>
      </c>
      <c r="J10" s="50">
        <v>3884</v>
      </c>
      <c r="K10" s="50">
        <v>3550</v>
      </c>
      <c r="L10" s="50">
        <v>1030</v>
      </c>
      <c r="M10" s="50">
        <v>1064</v>
      </c>
      <c r="N10" s="50">
        <f t="shared" si="0"/>
        <v>59102</v>
      </c>
    </row>
    <row r="11" spans="1:14">
      <c r="A11" s="49">
        <v>1962</v>
      </c>
      <c r="B11" s="50">
        <v>1356</v>
      </c>
      <c r="C11" s="50">
        <v>9022</v>
      </c>
      <c r="D11" s="50">
        <v>3006</v>
      </c>
      <c r="E11" s="50">
        <v>956</v>
      </c>
      <c r="F11" s="50">
        <v>2038</v>
      </c>
      <c r="G11" s="50">
        <v>14344</v>
      </c>
      <c r="H11" s="50">
        <v>13208</v>
      </c>
      <c r="I11" s="50">
        <v>15030</v>
      </c>
      <c r="J11" s="50">
        <v>2578</v>
      </c>
      <c r="K11" s="50">
        <v>6580</v>
      </c>
      <c r="L11" s="50">
        <v>678</v>
      </c>
      <c r="M11" s="50">
        <v>1674</v>
      </c>
      <c r="N11" s="50">
        <f t="shared" si="0"/>
        <v>70470</v>
      </c>
    </row>
    <row r="12" spans="1:14">
      <c r="A12" s="49">
        <v>1963</v>
      </c>
      <c r="B12" s="50">
        <v>1436</v>
      </c>
      <c r="C12" s="50">
        <v>1404</v>
      </c>
      <c r="D12" s="50">
        <v>1810</v>
      </c>
      <c r="E12" s="50">
        <v>470</v>
      </c>
      <c r="F12" s="50">
        <v>956</v>
      </c>
      <c r="G12" s="50">
        <v>2798</v>
      </c>
      <c r="H12" s="50">
        <v>22926</v>
      </c>
      <c r="I12" s="50">
        <v>13302</v>
      </c>
      <c r="J12" s="50">
        <v>6962</v>
      </c>
      <c r="K12" s="50">
        <v>2078</v>
      </c>
      <c r="L12" s="50">
        <v>20</v>
      </c>
      <c r="M12" s="50">
        <v>12</v>
      </c>
      <c r="N12" s="50">
        <f t="shared" si="0"/>
        <v>54174</v>
      </c>
    </row>
    <row r="13" spans="1:14">
      <c r="A13" s="49">
        <v>1964</v>
      </c>
      <c r="B13" s="50">
        <v>31</v>
      </c>
      <c r="C13" s="50">
        <v>30</v>
      </c>
      <c r="D13" s="50">
        <v>590</v>
      </c>
      <c r="E13" s="50">
        <v>30</v>
      </c>
      <c r="F13" s="50">
        <v>6146</v>
      </c>
      <c r="G13" s="50">
        <v>3594</v>
      </c>
      <c r="H13" s="50">
        <v>24518</v>
      </c>
      <c r="I13" s="50">
        <v>14678</v>
      </c>
      <c r="J13" s="50">
        <v>8694</v>
      </c>
      <c r="K13" s="50">
        <v>124</v>
      </c>
      <c r="L13" s="50">
        <v>30</v>
      </c>
      <c r="M13" s="50">
        <v>31</v>
      </c>
      <c r="N13" s="50">
        <f t="shared" si="0"/>
        <v>58496</v>
      </c>
    </row>
    <row r="14" spans="1:14">
      <c r="A14" s="49">
        <v>1965</v>
      </c>
      <c r="B14" s="50">
        <v>32</v>
      </c>
      <c r="C14" s="50">
        <v>11</v>
      </c>
      <c r="D14" s="50">
        <v>7334</v>
      </c>
      <c r="E14" s="50">
        <v>3308</v>
      </c>
      <c r="F14" s="50">
        <v>15</v>
      </c>
      <c r="G14" s="50">
        <v>17402</v>
      </c>
      <c r="H14" s="50">
        <v>24636</v>
      </c>
      <c r="I14" s="50">
        <v>16302</v>
      </c>
      <c r="J14" s="50">
        <v>3434</v>
      </c>
      <c r="K14" s="50">
        <v>6400</v>
      </c>
      <c r="L14" s="50">
        <v>1622</v>
      </c>
      <c r="M14" s="50">
        <v>0</v>
      </c>
      <c r="N14" s="50">
        <f t="shared" si="0"/>
        <v>80496</v>
      </c>
    </row>
    <row r="15" spans="1:14">
      <c r="A15" s="49">
        <v>1966</v>
      </c>
      <c r="B15" s="50">
        <v>0</v>
      </c>
      <c r="C15" s="50">
        <v>1836</v>
      </c>
      <c r="D15" s="50">
        <v>274</v>
      </c>
      <c r="E15" s="50">
        <v>60</v>
      </c>
      <c r="F15" s="50">
        <v>4254</v>
      </c>
      <c r="G15" s="50">
        <v>5646</v>
      </c>
      <c r="H15" s="50">
        <v>23602</v>
      </c>
      <c r="I15" s="50">
        <v>15812</v>
      </c>
      <c r="J15" s="50">
        <v>932</v>
      </c>
      <c r="K15" s="50">
        <v>62</v>
      </c>
      <c r="L15" s="50">
        <v>60</v>
      </c>
      <c r="M15" s="50">
        <v>0</v>
      </c>
      <c r="N15" s="50">
        <f t="shared" si="0"/>
        <v>52538</v>
      </c>
    </row>
    <row r="16" spans="1:14">
      <c r="A16" s="49">
        <v>1967</v>
      </c>
      <c r="B16" s="50">
        <v>0</v>
      </c>
      <c r="C16" s="50">
        <v>0</v>
      </c>
      <c r="D16" s="50">
        <v>0</v>
      </c>
      <c r="E16" s="50">
        <v>0</v>
      </c>
      <c r="F16" s="50">
        <v>588</v>
      </c>
      <c r="G16" s="50">
        <v>15348</v>
      </c>
      <c r="H16" s="50">
        <v>15628</v>
      </c>
      <c r="I16" s="50">
        <v>23124</v>
      </c>
      <c r="J16" s="50">
        <v>4588</v>
      </c>
      <c r="K16" s="50">
        <v>62</v>
      </c>
      <c r="L16" s="50">
        <v>0</v>
      </c>
      <c r="M16" s="50">
        <v>0</v>
      </c>
      <c r="N16" s="50">
        <f t="shared" si="0"/>
        <v>59338</v>
      </c>
    </row>
    <row r="17" spans="1:14">
      <c r="A17" s="49">
        <v>1968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2722</v>
      </c>
      <c r="H17" s="50">
        <v>30032</v>
      </c>
      <c r="I17" s="50">
        <v>5818</v>
      </c>
      <c r="J17" s="50">
        <v>17900</v>
      </c>
      <c r="K17" s="50">
        <v>1500</v>
      </c>
      <c r="L17" s="50">
        <v>2510</v>
      </c>
      <c r="M17" s="50">
        <v>60</v>
      </c>
      <c r="N17" s="50">
        <f t="shared" si="0"/>
        <v>60542</v>
      </c>
    </row>
    <row r="18" spans="1:14">
      <c r="A18" s="49">
        <v>1969</v>
      </c>
      <c r="B18" s="50">
        <v>60</v>
      </c>
      <c r="C18" s="50">
        <v>60</v>
      </c>
      <c r="D18" s="50">
        <v>70</v>
      </c>
      <c r="E18" s="50">
        <v>60</v>
      </c>
      <c r="F18" s="50">
        <v>4452</v>
      </c>
      <c r="G18" s="50">
        <v>5450</v>
      </c>
      <c r="H18" s="50">
        <v>17100</v>
      </c>
      <c r="I18" s="50">
        <v>18894</v>
      </c>
      <c r="J18" s="50">
        <v>7524</v>
      </c>
      <c r="K18" s="50">
        <v>7644</v>
      </c>
      <c r="L18" s="50">
        <v>384</v>
      </c>
      <c r="M18" s="50">
        <v>60</v>
      </c>
      <c r="N18" s="50">
        <f t="shared" si="0"/>
        <v>61758</v>
      </c>
    </row>
    <row r="19" spans="1:14">
      <c r="A19" s="49">
        <v>1970</v>
      </c>
      <c r="B19" s="50">
        <v>60</v>
      </c>
      <c r="C19" s="50">
        <v>50</v>
      </c>
      <c r="D19" s="50">
        <v>60</v>
      </c>
      <c r="E19" s="50">
        <v>1724</v>
      </c>
      <c r="F19" s="50">
        <v>62</v>
      </c>
      <c r="G19" s="50">
        <v>2822</v>
      </c>
      <c r="H19" s="50">
        <v>32966</v>
      </c>
      <c r="I19" s="50">
        <v>26616</v>
      </c>
      <c r="J19" s="50">
        <v>488</v>
      </c>
      <c r="K19" s="50">
        <v>62</v>
      </c>
      <c r="L19" s="50">
        <v>60</v>
      </c>
      <c r="M19" s="50">
        <v>60</v>
      </c>
      <c r="N19" s="50">
        <f t="shared" si="0"/>
        <v>65030</v>
      </c>
    </row>
    <row r="20" spans="1:14">
      <c r="A20" s="49">
        <v>1971</v>
      </c>
      <c r="B20" s="50">
        <v>60</v>
      </c>
      <c r="C20" s="50">
        <v>48</v>
      </c>
      <c r="D20" s="50">
        <v>60</v>
      </c>
      <c r="E20" s="50">
        <v>460</v>
      </c>
      <c r="F20" s="50">
        <v>62</v>
      </c>
      <c r="G20" s="50">
        <v>7746</v>
      </c>
      <c r="H20" s="50">
        <v>20058</v>
      </c>
      <c r="I20" s="50">
        <v>16770</v>
      </c>
      <c r="J20" s="50">
        <v>2738</v>
      </c>
      <c r="K20" s="50">
        <v>28</v>
      </c>
      <c r="L20" s="50">
        <v>0</v>
      </c>
      <c r="M20" s="50">
        <v>0</v>
      </c>
      <c r="N20" s="50">
        <f t="shared" si="0"/>
        <v>48030</v>
      </c>
    </row>
    <row r="21" spans="1:14">
      <c r="A21" s="49">
        <v>1972</v>
      </c>
      <c r="B21" s="50">
        <v>0</v>
      </c>
      <c r="C21" s="50">
        <v>58</v>
      </c>
      <c r="D21" s="50">
        <v>260</v>
      </c>
      <c r="E21" s="50">
        <v>94</v>
      </c>
      <c r="F21" s="50">
        <v>454</v>
      </c>
      <c r="G21" s="50">
        <v>2622</v>
      </c>
      <c r="H21" s="50">
        <v>16840</v>
      </c>
      <c r="I21" s="50">
        <v>10970</v>
      </c>
      <c r="J21" s="50">
        <v>110</v>
      </c>
      <c r="K21" s="50">
        <v>62</v>
      </c>
      <c r="L21" s="50">
        <v>60</v>
      </c>
      <c r="M21" s="50">
        <v>60</v>
      </c>
      <c r="N21" s="50">
        <f t="shared" si="0"/>
        <v>31590</v>
      </c>
    </row>
    <row r="22" spans="1:14">
      <c r="A22" s="49">
        <v>1973</v>
      </c>
      <c r="B22" s="50">
        <v>60</v>
      </c>
      <c r="C22" s="50">
        <v>4050</v>
      </c>
      <c r="D22" s="50">
        <v>4990</v>
      </c>
      <c r="E22" s="50">
        <v>13680</v>
      </c>
      <c r="F22" s="50">
        <v>8320</v>
      </c>
      <c r="G22" s="50">
        <v>7088</v>
      </c>
      <c r="H22" s="50">
        <v>12520</v>
      </c>
      <c r="I22" s="50">
        <v>10352</v>
      </c>
      <c r="J22" s="50">
        <v>24742</v>
      </c>
      <c r="K22" s="50">
        <v>61980</v>
      </c>
      <c r="L22" s="50">
        <v>27970</v>
      </c>
      <c r="M22" s="50">
        <v>6600</v>
      </c>
      <c r="N22" s="50">
        <f t="shared" si="0"/>
        <v>182352</v>
      </c>
    </row>
    <row r="23" spans="1:14">
      <c r="A23" s="49">
        <v>1974</v>
      </c>
      <c r="B23" s="50">
        <v>4910</v>
      </c>
      <c r="C23" s="50">
        <v>10950</v>
      </c>
      <c r="D23" s="50">
        <v>3620</v>
      </c>
      <c r="E23" s="50">
        <v>3324</v>
      </c>
      <c r="F23" s="50">
        <v>3164</v>
      </c>
      <c r="G23" s="50">
        <v>5970</v>
      </c>
      <c r="H23" s="50">
        <v>32930</v>
      </c>
      <c r="I23" s="50">
        <v>8280</v>
      </c>
      <c r="J23" s="50">
        <v>980</v>
      </c>
      <c r="K23" s="50">
        <v>62</v>
      </c>
      <c r="L23" s="50">
        <v>60</v>
      </c>
      <c r="M23" s="50">
        <v>62</v>
      </c>
      <c r="N23" s="50">
        <f t="shared" si="0"/>
        <v>74312</v>
      </c>
    </row>
    <row r="24" spans="1:14">
      <c r="A24" s="49">
        <v>1975</v>
      </c>
      <c r="B24" s="50">
        <v>60</v>
      </c>
      <c r="C24" s="50">
        <v>56</v>
      </c>
      <c r="D24" s="50">
        <v>60</v>
      </c>
      <c r="E24" s="50">
        <v>374</v>
      </c>
      <c r="F24" s="50">
        <v>2054</v>
      </c>
      <c r="G24" s="50">
        <v>10526</v>
      </c>
      <c r="H24" s="50">
        <v>33728</v>
      </c>
      <c r="I24" s="50">
        <v>17557</v>
      </c>
      <c r="J24" s="50">
        <v>1080</v>
      </c>
      <c r="K24" s="50">
        <v>62</v>
      </c>
      <c r="L24" s="50">
        <v>60</v>
      </c>
      <c r="M24" s="50">
        <v>62</v>
      </c>
      <c r="N24" s="50">
        <f t="shared" si="0"/>
        <v>65679</v>
      </c>
    </row>
    <row r="25" spans="1:14">
      <c r="A25" s="49">
        <v>1976</v>
      </c>
      <c r="B25" s="50">
        <v>62</v>
      </c>
      <c r="C25" s="50">
        <v>58</v>
      </c>
      <c r="D25" s="50">
        <v>62</v>
      </c>
      <c r="E25" s="50">
        <v>60</v>
      </c>
      <c r="F25" s="50">
        <v>1220</v>
      </c>
      <c r="G25" s="50">
        <v>7520</v>
      </c>
      <c r="H25" s="50">
        <v>30576</v>
      </c>
      <c r="I25" s="50">
        <v>22298</v>
      </c>
      <c r="J25" s="50">
        <v>3186</v>
      </c>
      <c r="K25" s="50">
        <v>62</v>
      </c>
      <c r="L25" s="50">
        <v>60</v>
      </c>
      <c r="M25" s="50">
        <v>62</v>
      </c>
      <c r="N25" s="50">
        <f t="shared" si="0"/>
        <v>65226</v>
      </c>
    </row>
    <row r="26" spans="1:14">
      <c r="A26" s="49">
        <v>1977</v>
      </c>
      <c r="B26" s="50">
        <v>62</v>
      </c>
      <c r="C26" s="50">
        <v>56</v>
      </c>
      <c r="D26" s="50">
        <v>62</v>
      </c>
      <c r="E26" s="50">
        <v>56</v>
      </c>
      <c r="F26" s="50">
        <v>1157</v>
      </c>
      <c r="G26" s="50">
        <v>3938</v>
      </c>
      <c r="H26" s="50">
        <v>29521</v>
      </c>
      <c r="I26" s="50">
        <v>5262</v>
      </c>
      <c r="J26" s="50">
        <v>60</v>
      </c>
      <c r="K26" s="50">
        <v>58</v>
      </c>
      <c r="L26" s="50">
        <v>60</v>
      </c>
      <c r="M26" s="50">
        <v>62</v>
      </c>
      <c r="N26" s="50">
        <f t="shared" si="0"/>
        <v>40354</v>
      </c>
    </row>
    <row r="27" spans="1:14">
      <c r="A27" s="49">
        <v>1978</v>
      </c>
      <c r="B27" s="50">
        <v>0</v>
      </c>
      <c r="C27" s="50">
        <v>12</v>
      </c>
      <c r="D27" s="50">
        <v>7476</v>
      </c>
      <c r="E27" s="50">
        <v>3609</v>
      </c>
      <c r="F27" s="50">
        <v>2004</v>
      </c>
      <c r="G27" s="50">
        <v>3777</v>
      </c>
      <c r="H27" s="50">
        <v>19966</v>
      </c>
      <c r="I27" s="50">
        <v>16441</v>
      </c>
      <c r="J27" s="50">
        <v>3996</v>
      </c>
      <c r="K27" s="50">
        <v>1072</v>
      </c>
      <c r="L27" s="50">
        <v>396</v>
      </c>
      <c r="M27" s="50">
        <v>1102</v>
      </c>
      <c r="N27" s="50">
        <f t="shared" si="0"/>
        <v>59851</v>
      </c>
    </row>
    <row r="28" spans="1:14">
      <c r="A28" s="49">
        <v>1979</v>
      </c>
      <c r="B28" s="50">
        <v>68</v>
      </c>
      <c r="C28" s="50">
        <v>21</v>
      </c>
      <c r="D28" s="50">
        <v>9422</v>
      </c>
      <c r="E28" s="50">
        <v>11559</v>
      </c>
      <c r="F28" s="50">
        <v>580</v>
      </c>
      <c r="G28" s="50">
        <v>1481</v>
      </c>
      <c r="H28" s="50">
        <v>9709</v>
      </c>
      <c r="I28" s="50">
        <v>22270</v>
      </c>
      <c r="J28" s="50">
        <v>2386</v>
      </c>
      <c r="K28" s="50">
        <v>15</v>
      </c>
      <c r="L28" s="50">
        <v>16</v>
      </c>
      <c r="M28" s="50">
        <v>1315</v>
      </c>
      <c r="N28" s="50">
        <f t="shared" si="0"/>
        <v>58842</v>
      </c>
    </row>
    <row r="29" spans="1:14">
      <c r="A29" s="49">
        <v>1980</v>
      </c>
      <c r="B29" s="50">
        <v>1276</v>
      </c>
      <c r="C29" s="50">
        <v>12</v>
      </c>
      <c r="D29" s="50">
        <v>21</v>
      </c>
      <c r="E29" s="50">
        <v>6974</v>
      </c>
      <c r="F29" s="50">
        <v>1191</v>
      </c>
      <c r="G29" s="50">
        <v>3504</v>
      </c>
      <c r="H29" s="50">
        <v>34101</v>
      </c>
      <c r="I29" s="50">
        <v>13546</v>
      </c>
      <c r="J29" s="50">
        <v>1016</v>
      </c>
      <c r="K29" s="50">
        <v>7</v>
      </c>
      <c r="L29" s="50">
        <v>6</v>
      </c>
      <c r="M29" s="50">
        <v>9</v>
      </c>
      <c r="N29" s="50">
        <f t="shared" si="0"/>
        <v>61663</v>
      </c>
    </row>
    <row r="30" spans="1:14">
      <c r="A30" s="49">
        <v>1981</v>
      </c>
      <c r="B30" s="50">
        <v>7</v>
      </c>
      <c r="C30" s="50">
        <v>7</v>
      </c>
      <c r="D30" s="50">
        <v>9</v>
      </c>
      <c r="E30" s="50">
        <v>7</v>
      </c>
      <c r="F30" s="50">
        <v>2766</v>
      </c>
      <c r="G30" s="50">
        <v>11085</v>
      </c>
      <c r="H30" s="50">
        <v>15179</v>
      </c>
      <c r="I30" s="50">
        <v>5801</v>
      </c>
      <c r="J30" s="50">
        <v>1225</v>
      </c>
      <c r="K30" s="50">
        <v>30</v>
      </c>
      <c r="L30" s="50">
        <v>23</v>
      </c>
      <c r="M30" s="50">
        <v>1947</v>
      </c>
      <c r="N30" s="50">
        <f t="shared" si="0"/>
        <v>38086</v>
      </c>
    </row>
    <row r="31" spans="1:14">
      <c r="A31" s="49">
        <v>1982</v>
      </c>
      <c r="B31" s="50">
        <v>14</v>
      </c>
      <c r="C31" s="50">
        <v>11</v>
      </c>
      <c r="D31" s="50">
        <v>14</v>
      </c>
      <c r="E31" s="50">
        <v>12</v>
      </c>
      <c r="F31" s="50">
        <v>3446</v>
      </c>
      <c r="G31" s="50">
        <v>6163</v>
      </c>
      <c r="H31" s="50">
        <v>16476</v>
      </c>
      <c r="I31" s="50">
        <v>22683</v>
      </c>
      <c r="J31" s="50">
        <v>1220</v>
      </c>
      <c r="K31" s="50">
        <v>1034</v>
      </c>
      <c r="L31" s="50">
        <v>5</v>
      </c>
      <c r="M31" s="50">
        <v>10</v>
      </c>
      <c r="N31" s="50">
        <f t="shared" si="0"/>
        <v>51088</v>
      </c>
    </row>
    <row r="32" spans="1:14">
      <c r="A32" s="49">
        <v>1983</v>
      </c>
      <c r="B32" s="50">
        <v>4</v>
      </c>
      <c r="C32" s="50">
        <v>3</v>
      </c>
      <c r="D32" s="50">
        <v>6</v>
      </c>
      <c r="E32" s="50">
        <v>4</v>
      </c>
      <c r="F32" s="50">
        <v>10</v>
      </c>
      <c r="G32" s="50">
        <v>7382</v>
      </c>
      <c r="H32" s="50">
        <v>29112</v>
      </c>
      <c r="I32" s="50">
        <v>19143</v>
      </c>
      <c r="J32" s="50">
        <v>3082</v>
      </c>
      <c r="K32" s="50">
        <v>8</v>
      </c>
      <c r="L32" s="50">
        <v>8</v>
      </c>
      <c r="M32" s="50">
        <v>5</v>
      </c>
      <c r="N32" s="50">
        <f t="shared" si="0"/>
        <v>58767</v>
      </c>
    </row>
    <row r="33" spans="1:14">
      <c r="A33" s="49">
        <v>1984</v>
      </c>
      <c r="B33" s="50">
        <v>8</v>
      </c>
      <c r="C33" s="50">
        <v>8</v>
      </c>
      <c r="D33" s="50">
        <v>2063</v>
      </c>
      <c r="E33" s="50">
        <v>6307</v>
      </c>
      <c r="F33" s="50">
        <v>7488</v>
      </c>
      <c r="G33" s="50">
        <v>11015</v>
      </c>
      <c r="H33" s="50">
        <v>28615</v>
      </c>
      <c r="I33" s="50">
        <v>18635</v>
      </c>
      <c r="J33" s="50">
        <v>3070</v>
      </c>
      <c r="K33" s="50">
        <v>11</v>
      </c>
      <c r="L33" s="50">
        <v>9</v>
      </c>
      <c r="M33" s="50">
        <v>9</v>
      </c>
      <c r="N33" s="50">
        <f t="shared" si="0"/>
        <v>77238</v>
      </c>
    </row>
    <row r="34" spans="1:14">
      <c r="A34" s="49">
        <v>1985</v>
      </c>
      <c r="B34" s="50">
        <v>7</v>
      </c>
      <c r="C34" s="50">
        <v>8</v>
      </c>
      <c r="D34" s="50">
        <v>9</v>
      </c>
      <c r="E34" s="50">
        <v>8</v>
      </c>
      <c r="F34" s="50">
        <v>15312</v>
      </c>
      <c r="G34" s="50">
        <v>8935</v>
      </c>
      <c r="H34" s="50">
        <v>23972</v>
      </c>
      <c r="I34" s="50">
        <v>14192</v>
      </c>
      <c r="J34" s="50">
        <v>8609</v>
      </c>
      <c r="K34" s="50">
        <v>368</v>
      </c>
      <c r="L34" s="50">
        <v>23</v>
      </c>
      <c r="M34" s="50">
        <v>11</v>
      </c>
      <c r="N34" s="50">
        <f t="shared" si="0"/>
        <v>71454</v>
      </c>
    </row>
    <row r="35" spans="1:14">
      <c r="A35" s="49">
        <v>1986</v>
      </c>
      <c r="B35" s="50">
        <v>3539</v>
      </c>
      <c r="C35" s="50">
        <v>20</v>
      </c>
      <c r="D35" s="50">
        <v>2930</v>
      </c>
      <c r="E35" s="50">
        <v>39</v>
      </c>
      <c r="F35" s="50">
        <v>6523</v>
      </c>
      <c r="G35" s="50">
        <v>13261</v>
      </c>
      <c r="H35" s="50">
        <v>21398</v>
      </c>
      <c r="I35" s="50">
        <v>7620</v>
      </c>
      <c r="J35" s="50">
        <v>278</v>
      </c>
      <c r="K35" s="50">
        <v>17837</v>
      </c>
      <c r="L35" s="50">
        <v>2001</v>
      </c>
      <c r="M35" s="50">
        <v>0</v>
      </c>
      <c r="N35" s="50">
        <f t="shared" si="0"/>
        <v>75446</v>
      </c>
    </row>
    <row r="36" spans="1:14">
      <c r="A36" s="49">
        <v>1987</v>
      </c>
      <c r="B36" s="50">
        <v>6214</v>
      </c>
      <c r="C36" s="50">
        <v>0</v>
      </c>
      <c r="D36" s="50">
        <v>3223</v>
      </c>
      <c r="E36" s="50">
        <v>49997</v>
      </c>
      <c r="F36" s="50">
        <v>21554</v>
      </c>
      <c r="G36" s="50">
        <v>7542</v>
      </c>
      <c r="H36" s="50">
        <v>23497</v>
      </c>
      <c r="I36" s="50">
        <v>11137</v>
      </c>
      <c r="J36" s="50">
        <v>936</v>
      </c>
      <c r="K36" s="50">
        <v>0</v>
      </c>
      <c r="L36" s="50">
        <v>0</v>
      </c>
      <c r="M36" s="50">
        <v>0</v>
      </c>
      <c r="N36" s="50">
        <f t="shared" si="0"/>
        <v>124100</v>
      </c>
    </row>
    <row r="37" spans="1:14">
      <c r="A37" s="49">
        <v>1988</v>
      </c>
      <c r="B37" s="50">
        <v>0</v>
      </c>
      <c r="C37" s="50">
        <v>6651</v>
      </c>
      <c r="D37" s="50">
        <v>1178</v>
      </c>
      <c r="E37" s="50">
        <v>0</v>
      </c>
      <c r="F37" s="50">
        <v>440</v>
      </c>
      <c r="G37" s="50">
        <v>18385</v>
      </c>
      <c r="H37" s="50">
        <v>18280</v>
      </c>
      <c r="I37" s="50">
        <v>17716</v>
      </c>
      <c r="J37" s="50">
        <v>2575</v>
      </c>
      <c r="K37" s="50">
        <v>12</v>
      </c>
      <c r="L37" s="50">
        <v>12</v>
      </c>
      <c r="M37" s="50">
        <v>6</v>
      </c>
      <c r="N37" s="50">
        <f t="shared" si="0"/>
        <v>65255</v>
      </c>
    </row>
    <row r="38" spans="1:14">
      <c r="A38" s="49">
        <v>1989</v>
      </c>
      <c r="B38" s="50">
        <v>6</v>
      </c>
      <c r="C38" s="50">
        <v>11</v>
      </c>
      <c r="D38" s="50">
        <v>12</v>
      </c>
      <c r="E38" s="50">
        <v>18</v>
      </c>
      <c r="F38" s="50">
        <v>25</v>
      </c>
      <c r="G38" s="50">
        <v>5092</v>
      </c>
      <c r="H38" s="50">
        <v>23217</v>
      </c>
      <c r="I38" s="50">
        <v>14593</v>
      </c>
      <c r="J38" s="50">
        <v>173</v>
      </c>
      <c r="K38" s="50">
        <v>12</v>
      </c>
      <c r="L38" s="50">
        <v>12</v>
      </c>
      <c r="M38" s="50">
        <v>6</v>
      </c>
      <c r="N38" s="50">
        <f t="shared" ref="N38:N66" si="1">SUM(B38:M38)</f>
        <v>43177</v>
      </c>
    </row>
    <row r="39" spans="1:14">
      <c r="A39" s="49">
        <v>1990</v>
      </c>
      <c r="B39" s="50">
        <v>6</v>
      </c>
      <c r="C39" s="50">
        <v>11</v>
      </c>
      <c r="D39" s="50">
        <v>12</v>
      </c>
      <c r="E39" s="50">
        <v>18</v>
      </c>
      <c r="F39" s="50">
        <v>675</v>
      </c>
      <c r="G39" s="50">
        <v>4276</v>
      </c>
      <c r="H39" s="50">
        <v>24243</v>
      </c>
      <c r="I39" s="50">
        <v>18864</v>
      </c>
      <c r="J39" s="50">
        <v>5330</v>
      </c>
      <c r="K39" s="50">
        <v>12</v>
      </c>
      <c r="L39" s="50">
        <v>12</v>
      </c>
      <c r="M39" s="50">
        <v>12</v>
      </c>
      <c r="N39" s="50">
        <f t="shared" si="1"/>
        <v>53471</v>
      </c>
    </row>
    <row r="40" spans="1:14">
      <c r="A40" s="49">
        <v>1991</v>
      </c>
      <c r="B40" s="50">
        <v>6</v>
      </c>
      <c r="C40" s="50">
        <v>11</v>
      </c>
      <c r="D40" s="50">
        <v>12</v>
      </c>
      <c r="E40" s="50">
        <v>18</v>
      </c>
      <c r="F40" s="50">
        <v>911</v>
      </c>
      <c r="G40" s="50">
        <v>9695</v>
      </c>
      <c r="H40" s="50">
        <v>22128</v>
      </c>
      <c r="I40" s="50">
        <v>10067</v>
      </c>
      <c r="J40" s="50">
        <v>18</v>
      </c>
      <c r="K40" s="50">
        <v>12</v>
      </c>
      <c r="L40" s="50">
        <v>12</v>
      </c>
      <c r="M40" s="50">
        <v>6</v>
      </c>
      <c r="N40" s="50">
        <f t="shared" si="1"/>
        <v>42896</v>
      </c>
    </row>
    <row r="41" spans="1:14">
      <c r="A41" s="49">
        <v>1992</v>
      </c>
      <c r="B41" s="50">
        <v>6</v>
      </c>
      <c r="C41" s="50">
        <v>12</v>
      </c>
      <c r="D41" s="50">
        <v>12</v>
      </c>
      <c r="E41" s="50">
        <v>18</v>
      </c>
      <c r="F41" s="50">
        <v>25</v>
      </c>
      <c r="G41" s="50">
        <f>24+3890</f>
        <v>3914</v>
      </c>
      <c r="H41" s="50">
        <f>5171+5726</f>
        <v>10897</v>
      </c>
      <c r="I41" s="50">
        <f>10097+3378</f>
        <v>13475</v>
      </c>
      <c r="J41" s="50">
        <f>6277+67</f>
        <v>6344</v>
      </c>
      <c r="K41" s="50">
        <v>12</v>
      </c>
      <c r="L41" s="50">
        <v>12</v>
      </c>
      <c r="M41" s="50">
        <v>6</v>
      </c>
      <c r="N41" s="50">
        <f t="shared" si="1"/>
        <v>34733</v>
      </c>
    </row>
    <row r="42" spans="1:14">
      <c r="A42" s="49">
        <v>1993</v>
      </c>
      <c r="B42" s="50">
        <v>6</v>
      </c>
      <c r="C42" s="50">
        <v>6661</v>
      </c>
      <c r="D42" s="50">
        <v>21833</v>
      </c>
      <c r="E42" s="50">
        <v>3477</v>
      </c>
      <c r="F42" s="50">
        <f>2245+597</f>
        <v>2842</v>
      </c>
      <c r="G42" s="50">
        <f>2463+2805</f>
        <v>5268</v>
      </c>
      <c r="H42" s="50">
        <f>46102+6262</f>
        <v>52364</v>
      </c>
      <c r="I42" s="50">
        <f>41844+7870</f>
        <v>49714</v>
      </c>
      <c r="J42" s="50">
        <f>16816+446</f>
        <v>17262</v>
      </c>
      <c r="K42" s="50">
        <v>7031</v>
      </c>
      <c r="L42" s="50">
        <v>2383</v>
      </c>
      <c r="M42" s="50">
        <v>6149</v>
      </c>
      <c r="N42" s="50">
        <f t="shared" si="1"/>
        <v>174990</v>
      </c>
    </row>
    <row r="43" spans="1:14">
      <c r="A43" s="49">
        <v>1994</v>
      </c>
      <c r="B43" s="50">
        <v>2940</v>
      </c>
      <c r="C43" s="50">
        <v>2777</v>
      </c>
      <c r="D43" s="50">
        <v>3074</v>
      </c>
      <c r="E43" s="50">
        <v>1318</v>
      </c>
      <c r="F43" s="50">
        <f>4282+1191</f>
        <v>5473</v>
      </c>
      <c r="G43" s="50">
        <f>24+7543</f>
        <v>7567</v>
      </c>
      <c r="H43" s="50">
        <f>24+11580</f>
        <v>11604</v>
      </c>
      <c r="I43" s="50">
        <f>25+19650</f>
        <v>19675</v>
      </c>
      <c r="J43" s="50">
        <f>18+349</f>
        <v>367</v>
      </c>
      <c r="K43" s="50">
        <v>12</v>
      </c>
      <c r="L43" s="50">
        <v>12</v>
      </c>
      <c r="M43" s="50">
        <v>6</v>
      </c>
      <c r="N43" s="50">
        <f t="shared" si="1"/>
        <v>54825</v>
      </c>
    </row>
    <row r="44" spans="1:14">
      <c r="A44" s="49">
        <v>1995</v>
      </c>
      <c r="B44" s="50">
        <v>6</v>
      </c>
      <c r="C44" s="50">
        <v>11</v>
      </c>
      <c r="D44" s="50">
        <v>12</v>
      </c>
      <c r="E44" s="50">
        <v>18</v>
      </c>
      <c r="F44" s="50">
        <v>630</v>
      </c>
      <c r="G44" s="50">
        <v>8363</v>
      </c>
      <c r="H44" s="50">
        <v>18546</v>
      </c>
      <c r="I44" s="50">
        <v>20173</v>
      </c>
      <c r="J44" s="50">
        <v>5966</v>
      </c>
      <c r="K44" s="50">
        <v>12</v>
      </c>
      <c r="L44" s="50">
        <v>12</v>
      </c>
      <c r="M44" s="50">
        <v>6</v>
      </c>
      <c r="N44" s="50">
        <f t="shared" si="1"/>
        <v>53755</v>
      </c>
    </row>
    <row r="45" spans="1:14">
      <c r="A45" s="49">
        <v>1996</v>
      </c>
      <c r="B45" s="50">
        <v>6</v>
      </c>
      <c r="C45" s="50">
        <v>12</v>
      </c>
      <c r="D45" s="50">
        <v>12</v>
      </c>
      <c r="E45" s="50">
        <v>18</v>
      </c>
      <c r="F45" s="50">
        <v>425</v>
      </c>
      <c r="G45" s="50">
        <v>12742</v>
      </c>
      <c r="H45" s="50">
        <v>17850</v>
      </c>
      <c r="I45" s="50">
        <v>15811</v>
      </c>
      <c r="J45" s="50">
        <v>1740</v>
      </c>
      <c r="K45" s="50">
        <v>12</v>
      </c>
      <c r="L45" s="50">
        <v>11281</v>
      </c>
      <c r="M45" s="50">
        <v>4640</v>
      </c>
      <c r="N45" s="50">
        <f t="shared" si="1"/>
        <v>64549</v>
      </c>
    </row>
    <row r="46" spans="1:14">
      <c r="A46" s="49">
        <v>1997</v>
      </c>
      <c r="B46" s="50">
        <v>6</v>
      </c>
      <c r="C46" s="50">
        <v>11</v>
      </c>
      <c r="D46" s="50">
        <v>12</v>
      </c>
      <c r="E46" s="50">
        <v>2690</v>
      </c>
      <c r="F46" s="50">
        <v>2106</v>
      </c>
      <c r="G46" s="50">
        <v>8967</v>
      </c>
      <c r="H46" s="50">
        <v>25626</v>
      </c>
      <c r="I46" s="50">
        <v>15172</v>
      </c>
      <c r="J46" s="50">
        <v>2179</v>
      </c>
      <c r="K46" s="50">
        <v>13</v>
      </c>
      <c r="L46" s="50">
        <v>12</v>
      </c>
      <c r="M46" s="50">
        <v>6</v>
      </c>
      <c r="N46" s="50">
        <f t="shared" si="1"/>
        <v>56800</v>
      </c>
    </row>
    <row r="47" spans="1:14">
      <c r="A47" s="49">
        <v>1998</v>
      </c>
      <c r="B47" s="50">
        <v>6</v>
      </c>
      <c r="C47" s="50">
        <v>6</v>
      </c>
      <c r="D47" s="50">
        <v>1162</v>
      </c>
      <c r="E47" s="50">
        <v>18389</v>
      </c>
      <c r="F47" s="50">
        <v>2909</v>
      </c>
      <c r="G47" s="50">
        <v>12101</v>
      </c>
      <c r="H47" s="50">
        <v>20310</v>
      </c>
      <c r="I47" s="50">
        <v>15038</v>
      </c>
      <c r="J47" s="50">
        <v>2600</v>
      </c>
      <c r="K47" s="50">
        <v>12</v>
      </c>
      <c r="L47" s="50">
        <v>12</v>
      </c>
      <c r="M47" s="50">
        <v>12</v>
      </c>
      <c r="N47" s="50">
        <f t="shared" si="1"/>
        <v>72557</v>
      </c>
    </row>
    <row r="48" spans="1:14">
      <c r="A48" s="49">
        <v>1999</v>
      </c>
      <c r="B48" s="51">
        <v>12</v>
      </c>
      <c r="C48" s="51">
        <v>11</v>
      </c>
      <c r="D48" s="51">
        <v>12</v>
      </c>
      <c r="E48" s="51">
        <v>12</v>
      </c>
      <c r="F48" s="51">
        <v>373</v>
      </c>
      <c r="G48" s="51">
        <v>5122</v>
      </c>
      <c r="H48" s="51">
        <v>27407</v>
      </c>
      <c r="I48" s="51">
        <v>14541</v>
      </c>
      <c r="J48" s="51">
        <v>3739</v>
      </c>
      <c r="K48" s="51">
        <v>12</v>
      </c>
      <c r="L48" s="51">
        <v>12</v>
      </c>
      <c r="M48" s="51">
        <v>6</v>
      </c>
      <c r="N48" s="50">
        <f t="shared" si="1"/>
        <v>51259</v>
      </c>
    </row>
    <row r="49" spans="1:14">
      <c r="A49" s="49">
        <v>2000</v>
      </c>
      <c r="B49" s="51">
        <v>6</v>
      </c>
      <c r="C49" s="51">
        <v>6</v>
      </c>
      <c r="D49" s="51">
        <v>12</v>
      </c>
      <c r="E49" s="51">
        <v>12</v>
      </c>
      <c r="F49" s="51">
        <v>2279</v>
      </c>
      <c r="G49" s="51">
        <v>15265</v>
      </c>
      <c r="H49" s="51">
        <v>25159</v>
      </c>
      <c r="I49" s="51">
        <v>21594</v>
      </c>
      <c r="J49" s="51">
        <v>692</v>
      </c>
      <c r="K49" s="51">
        <v>12</v>
      </c>
      <c r="L49" s="51">
        <v>12</v>
      </c>
      <c r="M49" s="51">
        <v>6</v>
      </c>
      <c r="N49" s="50">
        <f t="shared" si="1"/>
        <v>65055</v>
      </c>
    </row>
    <row r="50" spans="1:14">
      <c r="A50" s="49">
        <v>2001</v>
      </c>
      <c r="B50" s="51">
        <v>6</v>
      </c>
      <c r="C50" s="51">
        <v>11</v>
      </c>
      <c r="D50" s="51">
        <v>12</v>
      </c>
      <c r="E50" s="51">
        <v>18</v>
      </c>
      <c r="F50" s="51">
        <v>4519</v>
      </c>
      <c r="G50" s="51">
        <v>9988</v>
      </c>
      <c r="H50" s="51">
        <v>16727</v>
      </c>
      <c r="I50" s="51">
        <v>21030</v>
      </c>
      <c r="J50" s="51">
        <v>4105</v>
      </c>
      <c r="K50" s="51">
        <v>12</v>
      </c>
      <c r="L50" s="51">
        <v>12</v>
      </c>
      <c r="M50" s="51">
        <v>12</v>
      </c>
      <c r="N50" s="50">
        <f t="shared" si="1"/>
        <v>56452</v>
      </c>
    </row>
    <row r="51" spans="1:14">
      <c r="A51" s="49">
        <v>2002</v>
      </c>
      <c r="B51" s="52">
        <v>6</v>
      </c>
      <c r="C51" s="52">
        <v>6</v>
      </c>
      <c r="D51" s="52">
        <v>12</v>
      </c>
      <c r="E51" s="52">
        <v>17</v>
      </c>
      <c r="F51" s="52">
        <v>25</v>
      </c>
      <c r="G51" s="53">
        <v>8366</v>
      </c>
      <c r="H51" s="53">
        <v>27585</v>
      </c>
      <c r="I51" s="53">
        <v>15400</v>
      </c>
      <c r="J51" s="52">
        <v>24</v>
      </c>
      <c r="K51" s="52">
        <v>13</v>
      </c>
      <c r="L51" s="52">
        <v>12</v>
      </c>
      <c r="M51" s="52">
        <v>12</v>
      </c>
      <c r="N51" s="50">
        <f t="shared" si="1"/>
        <v>51478</v>
      </c>
    </row>
    <row r="52" spans="1:14">
      <c r="A52" s="49">
        <v>2003</v>
      </c>
      <c r="B52" s="51">
        <v>12</v>
      </c>
      <c r="C52" s="51">
        <v>11</v>
      </c>
      <c r="D52" s="51">
        <v>12</v>
      </c>
      <c r="E52" s="51">
        <v>17</v>
      </c>
      <c r="F52" s="51">
        <f>19+569</f>
        <v>588</v>
      </c>
      <c r="G52" s="51">
        <f>18+4145</f>
        <v>4163</v>
      </c>
      <c r="H52" s="51">
        <f>2034+18853</f>
        <v>20887</v>
      </c>
      <c r="I52" s="51">
        <f>25+13305</f>
        <v>13330</v>
      </c>
      <c r="J52" s="51">
        <v>19</v>
      </c>
      <c r="K52" s="51">
        <v>16</v>
      </c>
      <c r="L52" s="51">
        <v>12</v>
      </c>
      <c r="M52" s="51">
        <v>12</v>
      </c>
      <c r="N52" s="50">
        <f t="shared" si="1"/>
        <v>39079</v>
      </c>
    </row>
    <row r="53" spans="1:14">
      <c r="A53" s="49">
        <v>2004</v>
      </c>
      <c r="B53" s="54">
        <v>12</v>
      </c>
      <c r="C53" s="51">
        <v>12</v>
      </c>
      <c r="D53" s="51">
        <v>12</v>
      </c>
      <c r="E53" s="51">
        <v>18</v>
      </c>
      <c r="F53" s="51">
        <f>18+996</f>
        <v>1014</v>
      </c>
      <c r="G53" s="51">
        <f>24+1325</f>
        <v>1349</v>
      </c>
      <c r="H53" s="51">
        <f>4340+9390</f>
        <v>13730</v>
      </c>
      <c r="I53" s="51">
        <f>24+19018</f>
        <v>19042</v>
      </c>
      <c r="J53" s="51">
        <v>18</v>
      </c>
      <c r="K53" s="51">
        <v>12</v>
      </c>
      <c r="L53" s="51">
        <v>12</v>
      </c>
      <c r="M53" s="51">
        <v>12</v>
      </c>
      <c r="N53" s="50">
        <f t="shared" si="1"/>
        <v>35243</v>
      </c>
    </row>
    <row r="54" spans="1:14">
      <c r="A54" s="55">
        <v>2005</v>
      </c>
      <c r="B54" s="54">
        <v>12</v>
      </c>
      <c r="C54" s="51">
        <v>11</v>
      </c>
      <c r="D54" s="51">
        <v>12</v>
      </c>
      <c r="E54" s="51">
        <v>18</v>
      </c>
      <c r="F54" s="51">
        <v>25</v>
      </c>
      <c r="G54" s="51">
        <f>24+3663</f>
        <v>3687</v>
      </c>
      <c r="H54" s="51">
        <f>24+14571</f>
        <v>14595</v>
      </c>
      <c r="I54" s="51">
        <f>25+7034</f>
        <v>7059</v>
      </c>
      <c r="J54" s="50">
        <v>18</v>
      </c>
      <c r="K54" s="50">
        <v>12</v>
      </c>
      <c r="L54" s="50">
        <v>12</v>
      </c>
      <c r="M54" s="50">
        <v>12</v>
      </c>
      <c r="N54" s="50">
        <f t="shared" si="1"/>
        <v>25473</v>
      </c>
    </row>
    <row r="55" spans="1:14">
      <c r="A55" s="55">
        <v>2006</v>
      </c>
      <c r="B55" s="50">
        <v>12</v>
      </c>
      <c r="C55" s="50">
        <v>11</v>
      </c>
      <c r="D55" s="50">
        <v>12</v>
      </c>
      <c r="E55" s="50">
        <v>12</v>
      </c>
      <c r="F55" s="50">
        <v>463</v>
      </c>
      <c r="G55" s="50">
        <v>4423</v>
      </c>
      <c r="H55" s="50">
        <v>13641</v>
      </c>
      <c r="I55" s="50">
        <v>9426</v>
      </c>
      <c r="J55" s="50">
        <v>18</v>
      </c>
      <c r="K55" s="50">
        <v>18</v>
      </c>
      <c r="L55" s="50">
        <v>18</v>
      </c>
      <c r="M55" s="50">
        <v>12</v>
      </c>
      <c r="N55" s="50">
        <f t="shared" si="1"/>
        <v>28066</v>
      </c>
    </row>
    <row r="56" spans="1:14">
      <c r="A56" s="55">
        <v>2007</v>
      </c>
      <c r="B56" s="50">
        <v>12</v>
      </c>
      <c r="C56" s="50">
        <v>11</v>
      </c>
      <c r="D56" s="50">
        <v>12</v>
      </c>
      <c r="E56" s="50">
        <v>12</v>
      </c>
      <c r="F56" s="50">
        <v>1836</v>
      </c>
      <c r="G56" s="50">
        <v>4924</v>
      </c>
      <c r="H56" s="50">
        <v>16318</v>
      </c>
      <c r="I56" s="50">
        <v>13489</v>
      </c>
      <c r="J56" s="50">
        <v>12</v>
      </c>
      <c r="K56" s="50">
        <v>12</v>
      </c>
      <c r="L56" s="50">
        <v>12</v>
      </c>
      <c r="M56" s="50">
        <v>12</v>
      </c>
      <c r="N56" s="50">
        <f t="shared" si="1"/>
        <v>36662</v>
      </c>
    </row>
    <row r="57" spans="1:14">
      <c r="A57" s="55">
        <v>2008</v>
      </c>
      <c r="B57" s="50">
        <v>12</v>
      </c>
      <c r="C57" s="50">
        <v>12</v>
      </c>
      <c r="D57" s="50">
        <v>12</v>
      </c>
      <c r="E57" s="50">
        <v>12</v>
      </c>
      <c r="F57" s="50">
        <v>1536</v>
      </c>
      <c r="G57" s="50">
        <v>22742</v>
      </c>
      <c r="H57" s="50">
        <v>14460</v>
      </c>
      <c r="I57" s="50">
        <v>18976</v>
      </c>
      <c r="J57" s="50">
        <v>8825</v>
      </c>
      <c r="K57" s="50">
        <v>893</v>
      </c>
      <c r="L57" s="50">
        <v>10909</v>
      </c>
      <c r="M57" s="50">
        <v>3995</v>
      </c>
      <c r="N57" s="50">
        <f t="shared" si="1"/>
        <v>82384</v>
      </c>
    </row>
    <row r="58" spans="1:14">
      <c r="A58" s="55">
        <v>2009</v>
      </c>
      <c r="B58" s="50">
        <v>0</v>
      </c>
      <c r="C58" s="50">
        <v>11</v>
      </c>
      <c r="D58" s="50">
        <v>2374</v>
      </c>
      <c r="E58" s="50">
        <v>1052</v>
      </c>
      <c r="F58" s="50">
        <v>601</v>
      </c>
      <c r="G58" s="50">
        <v>5338</v>
      </c>
      <c r="H58" s="50">
        <v>13806</v>
      </c>
      <c r="I58" s="50">
        <v>13877</v>
      </c>
      <c r="J58" s="50">
        <v>1704</v>
      </c>
      <c r="K58" s="50">
        <v>12</v>
      </c>
      <c r="L58" s="50">
        <v>12</v>
      </c>
      <c r="M58" s="50">
        <v>12</v>
      </c>
      <c r="N58" s="50">
        <f t="shared" si="1"/>
        <v>38799</v>
      </c>
    </row>
    <row r="59" spans="1:14">
      <c r="A59" s="55">
        <v>2010</v>
      </c>
      <c r="B59" s="50">
        <v>12</v>
      </c>
      <c r="C59" s="50">
        <v>11</v>
      </c>
      <c r="D59" s="50">
        <v>12</v>
      </c>
      <c r="E59" s="50">
        <v>12</v>
      </c>
      <c r="F59" s="50">
        <v>12</v>
      </c>
      <c r="G59" s="50">
        <v>1581</v>
      </c>
      <c r="H59" s="50">
        <v>31873</v>
      </c>
      <c r="I59" s="50">
        <v>16406</v>
      </c>
      <c r="J59" s="50">
        <v>5149</v>
      </c>
      <c r="K59" s="50">
        <v>12</v>
      </c>
      <c r="L59" s="50">
        <v>12</v>
      </c>
      <c r="M59" s="50">
        <v>12</v>
      </c>
      <c r="N59" s="50">
        <f t="shared" si="1"/>
        <v>55104</v>
      </c>
    </row>
    <row r="60" spans="1:14">
      <c r="A60" s="55">
        <v>2011</v>
      </c>
      <c r="B60" s="50">
        <v>12</v>
      </c>
      <c r="C60" s="50">
        <v>11</v>
      </c>
      <c r="D60" s="50">
        <v>12</v>
      </c>
      <c r="E60" s="50">
        <v>12</v>
      </c>
      <c r="F60" s="50">
        <v>16272</v>
      </c>
      <c r="G60" s="50">
        <v>22106</v>
      </c>
      <c r="H60" s="50">
        <v>16289</v>
      </c>
      <c r="I60" s="50">
        <v>9244</v>
      </c>
      <c r="J60" s="50">
        <v>4798</v>
      </c>
      <c r="K60" s="50">
        <v>12</v>
      </c>
      <c r="L60" s="50">
        <v>12</v>
      </c>
      <c r="M60" s="50">
        <v>12</v>
      </c>
      <c r="N60" s="50">
        <f t="shared" si="1"/>
        <v>68792</v>
      </c>
    </row>
    <row r="61" spans="1:14">
      <c r="A61" s="55">
        <v>2012</v>
      </c>
      <c r="B61" s="50">
        <v>12.297700000000006</v>
      </c>
      <c r="C61" s="50">
        <v>11.504300000000006</v>
      </c>
      <c r="D61" s="50">
        <v>12.297700000000006</v>
      </c>
      <c r="E61" s="50">
        <v>297.52500000000003</v>
      </c>
      <c r="F61" s="50">
        <v>3590.7498850000006</v>
      </c>
      <c r="G61" s="50">
        <v>12531.752999999993</v>
      </c>
      <c r="H61" s="50">
        <v>17258.830199999997</v>
      </c>
      <c r="I61" s="50">
        <v>16323.014899999993</v>
      </c>
      <c r="J61" s="50">
        <v>11.901000000000005</v>
      </c>
      <c r="K61" s="50">
        <v>12</v>
      </c>
      <c r="L61" s="50">
        <v>12</v>
      </c>
      <c r="M61" s="50">
        <v>12.3</v>
      </c>
      <c r="N61" s="50">
        <f t="shared" si="1"/>
        <v>50086.173684999987</v>
      </c>
    </row>
    <row r="62" spans="1:14">
      <c r="A62" s="55">
        <v>2013</v>
      </c>
      <c r="B62" s="50">
        <v>12.3</v>
      </c>
      <c r="C62" s="50">
        <v>11</v>
      </c>
      <c r="D62" s="50">
        <v>12.3</v>
      </c>
      <c r="E62" s="50">
        <v>11.9</v>
      </c>
      <c r="F62" s="50">
        <v>379.2</v>
      </c>
      <c r="G62" s="50">
        <v>6823.2</v>
      </c>
      <c r="H62" s="50">
        <v>16661.8</v>
      </c>
      <c r="I62" s="50">
        <v>9108.6</v>
      </c>
      <c r="J62" s="50">
        <v>6284</v>
      </c>
      <c r="K62" s="50">
        <v>12</v>
      </c>
      <c r="L62" s="50">
        <v>12</v>
      </c>
      <c r="M62" s="50">
        <v>12</v>
      </c>
      <c r="N62" s="50">
        <f t="shared" si="1"/>
        <v>39340.299999999996</v>
      </c>
    </row>
    <row r="63" spans="1:14">
      <c r="A63" s="55">
        <v>2014</v>
      </c>
      <c r="B63" s="50">
        <v>12</v>
      </c>
      <c r="C63" s="50">
        <v>11</v>
      </c>
      <c r="D63" s="50">
        <v>12</v>
      </c>
      <c r="E63" s="50">
        <v>12</v>
      </c>
      <c r="F63" s="50">
        <v>12</v>
      </c>
      <c r="G63" s="50">
        <v>2967</v>
      </c>
      <c r="H63" s="50">
        <v>16652</v>
      </c>
      <c r="I63" s="50">
        <v>11913</v>
      </c>
      <c r="J63" s="50">
        <v>645</v>
      </c>
      <c r="K63" s="50">
        <v>12</v>
      </c>
      <c r="L63" s="50">
        <v>12</v>
      </c>
      <c r="M63" s="50">
        <v>12</v>
      </c>
      <c r="N63" s="50">
        <f t="shared" si="1"/>
        <v>32272</v>
      </c>
    </row>
    <row r="64" spans="1:14">
      <c r="A64" s="55">
        <v>2015</v>
      </c>
      <c r="B64" s="50">
        <v>12</v>
      </c>
      <c r="C64" s="50">
        <v>11</v>
      </c>
      <c r="D64" s="50">
        <v>12</v>
      </c>
      <c r="E64" s="50">
        <v>12</v>
      </c>
      <c r="F64" s="50">
        <v>23409</v>
      </c>
      <c r="G64" s="50">
        <v>6842</v>
      </c>
      <c r="H64" s="50">
        <v>11251</v>
      </c>
      <c r="I64" s="50">
        <v>11513</v>
      </c>
      <c r="J64" s="50">
        <v>4975</v>
      </c>
      <c r="K64" s="50">
        <v>12</v>
      </c>
      <c r="L64" s="50">
        <v>12</v>
      </c>
      <c r="M64" s="50">
        <v>12</v>
      </c>
      <c r="N64" s="50">
        <f t="shared" si="1"/>
        <v>58073</v>
      </c>
    </row>
    <row r="65" spans="1:14">
      <c r="A65" s="55">
        <v>2016</v>
      </c>
      <c r="B65" s="50">
        <v>12</v>
      </c>
      <c r="C65" s="50">
        <v>12</v>
      </c>
      <c r="D65" s="50">
        <v>12</v>
      </c>
      <c r="E65" s="50">
        <v>12</v>
      </c>
      <c r="F65" s="50">
        <v>4607</v>
      </c>
      <c r="G65" s="50">
        <v>9642</v>
      </c>
      <c r="H65" s="50">
        <v>11776</v>
      </c>
      <c r="I65" s="50">
        <v>8246</v>
      </c>
      <c r="J65" s="50">
        <v>1045</v>
      </c>
      <c r="K65" s="50">
        <v>12</v>
      </c>
      <c r="L65" s="50">
        <v>12</v>
      </c>
      <c r="M65" s="50">
        <v>12</v>
      </c>
      <c r="N65" s="50">
        <f t="shared" si="1"/>
        <v>35400</v>
      </c>
    </row>
    <row r="66" spans="1:14">
      <c r="A66" s="55">
        <v>2017</v>
      </c>
      <c r="B66" s="50">
        <v>12</v>
      </c>
      <c r="C66" s="50">
        <v>11</v>
      </c>
      <c r="D66" s="50">
        <v>12</v>
      </c>
      <c r="E66" s="50">
        <v>12</v>
      </c>
      <c r="F66" s="50">
        <v>13674</v>
      </c>
      <c r="G66" s="50">
        <v>6992</v>
      </c>
      <c r="H66" s="50">
        <v>12685</v>
      </c>
      <c r="I66" s="50">
        <v>11265</v>
      </c>
      <c r="J66" s="50">
        <v>5048</v>
      </c>
      <c r="K66" s="50">
        <v>12</v>
      </c>
      <c r="L66" s="50">
        <v>12</v>
      </c>
      <c r="M66" s="50">
        <v>12</v>
      </c>
      <c r="N66" s="50">
        <f t="shared" si="1"/>
        <v>49747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N5" sqref="N5:N7"/>
    </sheetView>
  </sheetViews>
  <sheetFormatPr defaultRowHeight="12.7"/>
  <sheetData>
    <row r="1" spans="1:16">
      <c r="O1">
        <f>24*3600</f>
        <v>86400</v>
      </c>
      <c r="P1" s="10" t="s">
        <v>40</v>
      </c>
    </row>
    <row r="2" spans="1:16">
      <c r="A2" s="10" t="s">
        <v>150</v>
      </c>
      <c r="B2">
        <v>31</v>
      </c>
      <c r="C2">
        <v>28.25</v>
      </c>
      <c r="D2">
        <v>31</v>
      </c>
      <c r="E2">
        <v>30</v>
      </c>
      <c r="F2">
        <v>31</v>
      </c>
      <c r="G2">
        <v>30</v>
      </c>
      <c r="H2">
        <v>31</v>
      </c>
      <c r="I2">
        <v>31</v>
      </c>
      <c r="J2">
        <v>30</v>
      </c>
      <c r="K2">
        <v>31</v>
      </c>
      <c r="L2">
        <v>30</v>
      </c>
      <c r="M2">
        <v>31</v>
      </c>
      <c r="O2">
        <f>5280^2/640</f>
        <v>43560</v>
      </c>
      <c r="P2" s="10" t="s">
        <v>151</v>
      </c>
    </row>
    <row r="3" spans="1:16">
      <c r="A3" t="s">
        <v>22</v>
      </c>
      <c r="O3">
        <f>O1/O2</f>
        <v>1.9834710743801653</v>
      </c>
      <c r="P3" s="10" t="s">
        <v>44</v>
      </c>
    </row>
    <row r="4" spans="1:16" ht="14.7">
      <c r="A4" s="97" t="s">
        <v>5</v>
      </c>
      <c r="B4" s="99" t="s">
        <v>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  <c r="O4" s="44" t="s">
        <v>154</v>
      </c>
      <c r="P4" s="65" t="s">
        <v>153</v>
      </c>
    </row>
    <row r="5" spans="1:16">
      <c r="A5" s="98"/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64" t="s">
        <v>152</v>
      </c>
    </row>
    <row r="6" spans="1:16">
      <c r="A6" s="2">
        <v>1957</v>
      </c>
      <c r="B6" s="3"/>
      <c r="C6" s="3"/>
      <c r="D6" s="3"/>
      <c r="E6" s="3"/>
      <c r="F6" s="3"/>
      <c r="G6" s="3"/>
      <c r="H6" s="3"/>
      <c r="I6" s="3"/>
      <c r="J6" s="3"/>
      <c r="K6" s="3">
        <v>6.0000000000000001E-3</v>
      </c>
      <c r="L6" s="3">
        <v>0.13</v>
      </c>
      <c r="M6" s="3">
        <v>0.36</v>
      </c>
    </row>
    <row r="7" spans="1:16">
      <c r="A7" s="2">
        <v>1958</v>
      </c>
      <c r="B7" s="3">
        <v>0.47</v>
      </c>
      <c r="C7" s="3">
        <v>1.03</v>
      </c>
      <c r="D7" s="3">
        <v>3.85</v>
      </c>
      <c r="E7" s="3">
        <v>10.6</v>
      </c>
      <c r="F7" s="3">
        <v>5.32</v>
      </c>
      <c r="G7" s="3">
        <v>3.33</v>
      </c>
      <c r="H7" s="3">
        <v>84.9</v>
      </c>
      <c r="I7" s="3">
        <v>36.5</v>
      </c>
      <c r="J7" s="3">
        <v>30.3</v>
      </c>
      <c r="K7" s="3">
        <v>0.02</v>
      </c>
      <c r="L7" s="3">
        <v>0.12</v>
      </c>
      <c r="M7" s="3">
        <v>0.38</v>
      </c>
      <c r="N7" s="9">
        <f>$O$3*SUMPRODUCT($B$2:$M$2,$B7:$M7)</f>
        <v>10778.652892561984</v>
      </c>
    </row>
    <row r="8" spans="1:16">
      <c r="A8" s="2">
        <v>1959</v>
      </c>
      <c r="B8" s="3">
        <v>0.64</v>
      </c>
      <c r="C8" s="3">
        <v>16</v>
      </c>
      <c r="D8" s="3">
        <v>4.3</v>
      </c>
      <c r="E8" s="3">
        <v>1.29</v>
      </c>
      <c r="F8" s="3">
        <v>101</v>
      </c>
      <c r="G8" s="3">
        <v>12.1</v>
      </c>
      <c r="H8" s="3">
        <v>14.7</v>
      </c>
      <c r="I8" s="3">
        <v>7.0000000000000001E-3</v>
      </c>
      <c r="J8" s="3">
        <v>15.9</v>
      </c>
      <c r="K8" s="3">
        <v>66.7</v>
      </c>
      <c r="L8" s="3">
        <v>0.41</v>
      </c>
      <c r="M8" s="3">
        <v>0.62</v>
      </c>
      <c r="N8" s="9">
        <f>$O$3*SUMPRODUCT($B$2:$M$2,$B8:$M8)</f>
        <v>14221.441983471077</v>
      </c>
    </row>
    <row r="9" spans="1:16">
      <c r="A9" s="2">
        <v>1960</v>
      </c>
      <c r="B9" s="3">
        <v>0.99</v>
      </c>
      <c r="C9" s="3">
        <v>5.18</v>
      </c>
      <c r="D9" s="3">
        <v>123</v>
      </c>
      <c r="E9" s="3">
        <v>71.2</v>
      </c>
      <c r="F9" s="3">
        <v>51.3</v>
      </c>
      <c r="G9" s="3">
        <v>177</v>
      </c>
      <c r="H9" s="3">
        <v>6.97</v>
      </c>
      <c r="I9" s="3">
        <v>38.1</v>
      </c>
      <c r="J9" s="3">
        <v>1.65</v>
      </c>
      <c r="K9" s="3">
        <v>1.29</v>
      </c>
      <c r="L9" s="3">
        <v>1.92</v>
      </c>
      <c r="M9" s="3">
        <v>2.44</v>
      </c>
      <c r="N9" s="9">
        <f>$O$3*SUMPRODUCT($B$2:$M$2,$B9:$M9)</f>
        <v>29050.36363636364</v>
      </c>
    </row>
    <row r="10" spans="1:16">
      <c r="A10" s="2">
        <v>1961</v>
      </c>
      <c r="B10" s="3">
        <v>2.52</v>
      </c>
      <c r="C10" s="3">
        <v>3.8</v>
      </c>
      <c r="D10" s="3">
        <v>3.96</v>
      </c>
      <c r="E10" s="3">
        <v>3.41</v>
      </c>
      <c r="F10" s="3">
        <v>84.2</v>
      </c>
      <c r="G10" s="3">
        <v>257</v>
      </c>
      <c r="H10" s="3">
        <v>5.14</v>
      </c>
      <c r="I10" s="3">
        <v>42.8</v>
      </c>
      <c r="J10" s="3">
        <v>92.2</v>
      </c>
      <c r="K10" s="3">
        <v>14.8</v>
      </c>
      <c r="L10" s="3">
        <v>10.4</v>
      </c>
      <c r="M10" s="3">
        <v>6.71</v>
      </c>
      <c r="N10" s="9">
        <f t="shared" ref="N10:N66" si="0">$O$3*SUMPRODUCT($B$2:$M$2,$B10:$M10)</f>
        <v>31659.530578512393</v>
      </c>
    </row>
    <row r="11" spans="1:16">
      <c r="A11" s="2">
        <v>1962</v>
      </c>
      <c r="B11" s="3">
        <v>125</v>
      </c>
      <c r="C11" s="3">
        <v>28.1</v>
      </c>
      <c r="D11" s="3">
        <v>39.1</v>
      </c>
      <c r="E11" s="3">
        <v>8.93</v>
      </c>
      <c r="F11" s="3">
        <v>27.8</v>
      </c>
      <c r="G11" s="3">
        <v>149</v>
      </c>
      <c r="H11" s="3">
        <v>81.900000000000006</v>
      </c>
      <c r="I11" s="3">
        <v>47.2</v>
      </c>
      <c r="J11" s="3">
        <v>27.5</v>
      </c>
      <c r="K11" s="3">
        <v>24.8</v>
      </c>
      <c r="L11" s="3">
        <v>9.0299999999999994</v>
      </c>
      <c r="M11" s="3">
        <v>7.89</v>
      </c>
      <c r="N11" s="9">
        <f t="shared" si="0"/>
        <v>34893.252892561992</v>
      </c>
    </row>
    <row r="12" spans="1:16">
      <c r="A12" s="2">
        <v>1963</v>
      </c>
      <c r="B12" s="3">
        <v>6.43</v>
      </c>
      <c r="C12" s="3">
        <v>8.89</v>
      </c>
      <c r="D12" s="3">
        <v>11.6</v>
      </c>
      <c r="E12" s="3">
        <v>17.8</v>
      </c>
      <c r="F12" s="3">
        <v>9.64</v>
      </c>
      <c r="G12" s="3">
        <v>23.3</v>
      </c>
      <c r="H12" s="3">
        <v>19.8</v>
      </c>
      <c r="I12" s="3">
        <v>3.9</v>
      </c>
      <c r="J12" s="3">
        <v>220</v>
      </c>
      <c r="K12" s="3">
        <v>4.6399999999999997</v>
      </c>
      <c r="L12" s="3">
        <v>4.5199999999999996</v>
      </c>
      <c r="M12" s="3">
        <v>4.21</v>
      </c>
      <c r="N12" s="9">
        <f t="shared" si="0"/>
        <v>20006.404958677685</v>
      </c>
    </row>
    <row r="13" spans="1:16">
      <c r="A13" s="2">
        <v>1964</v>
      </c>
      <c r="B13" s="3">
        <v>5.45</v>
      </c>
      <c r="C13" s="3">
        <v>5.51</v>
      </c>
      <c r="D13" s="3">
        <v>6.45</v>
      </c>
      <c r="E13" s="3">
        <v>5.25</v>
      </c>
      <c r="F13" s="3">
        <v>4.22</v>
      </c>
      <c r="G13" s="3">
        <v>2.9</v>
      </c>
      <c r="H13" s="3">
        <v>2.4</v>
      </c>
      <c r="I13" s="3">
        <v>51.4</v>
      </c>
      <c r="J13" s="3">
        <v>1.69</v>
      </c>
      <c r="K13" s="3">
        <v>0.21</v>
      </c>
      <c r="L13" s="3">
        <v>3.75</v>
      </c>
      <c r="M13" s="3">
        <v>2</v>
      </c>
      <c r="N13" s="9">
        <f t="shared" si="0"/>
        <v>5552.5041322314046</v>
      </c>
    </row>
    <row r="14" spans="1:16">
      <c r="A14" s="2">
        <v>1965</v>
      </c>
      <c r="B14" s="3">
        <v>2.17</v>
      </c>
      <c r="C14" s="3">
        <v>98.8</v>
      </c>
      <c r="D14" s="3">
        <v>30.7</v>
      </c>
      <c r="E14" s="3">
        <v>41.5</v>
      </c>
      <c r="F14" s="3">
        <v>22.9</v>
      </c>
      <c r="G14" s="3">
        <v>178</v>
      </c>
      <c r="H14" s="3">
        <v>120</v>
      </c>
      <c r="I14" s="3">
        <v>21.1</v>
      </c>
      <c r="J14" s="3">
        <v>116</v>
      </c>
      <c r="K14" s="3">
        <v>7</v>
      </c>
      <c r="L14" s="3">
        <v>4.4800000000000004</v>
      </c>
      <c r="M14" s="3">
        <v>5.78</v>
      </c>
      <c r="N14" s="9">
        <f t="shared" si="0"/>
        <v>38657.157024793392</v>
      </c>
    </row>
    <row r="15" spans="1:16">
      <c r="A15" s="2">
        <v>1966</v>
      </c>
      <c r="B15" s="3">
        <v>4.54</v>
      </c>
      <c r="C15" s="3">
        <v>27.3</v>
      </c>
      <c r="D15" s="3">
        <v>6.34</v>
      </c>
      <c r="E15" s="3">
        <v>4.09</v>
      </c>
      <c r="F15" s="3">
        <v>2.97</v>
      </c>
      <c r="G15" s="3">
        <v>4.45</v>
      </c>
      <c r="H15" s="3">
        <v>5.98</v>
      </c>
      <c r="I15" s="3">
        <v>10.9</v>
      </c>
      <c r="J15" s="3">
        <v>3.61</v>
      </c>
      <c r="K15" s="3">
        <v>0</v>
      </c>
      <c r="L15" s="3">
        <v>0.11</v>
      </c>
      <c r="M15" s="3">
        <v>0.43</v>
      </c>
      <c r="N15" s="9">
        <f t="shared" si="0"/>
        <v>4175.1768595041331</v>
      </c>
    </row>
    <row r="16" spans="1:16">
      <c r="A16" s="2">
        <v>1967</v>
      </c>
      <c r="B16" s="3">
        <v>0.84</v>
      </c>
      <c r="C16" s="3">
        <v>1.39</v>
      </c>
      <c r="D16" s="3">
        <v>1.1200000000000001</v>
      </c>
      <c r="E16" s="3">
        <v>0.89</v>
      </c>
      <c r="F16" s="3">
        <v>1.5</v>
      </c>
      <c r="G16" s="3">
        <v>173</v>
      </c>
      <c r="H16" s="3">
        <v>12.5</v>
      </c>
      <c r="I16" s="3">
        <v>0.75</v>
      </c>
      <c r="J16" s="3">
        <v>2.73</v>
      </c>
      <c r="K16" s="3">
        <v>1.08</v>
      </c>
      <c r="L16" s="3">
        <v>0.73</v>
      </c>
      <c r="M16" s="3">
        <v>0.66</v>
      </c>
      <c r="N16" s="9">
        <f t="shared" si="0"/>
        <v>11765.390082644626</v>
      </c>
    </row>
    <row r="17" spans="1:14">
      <c r="A17" s="2">
        <v>1968</v>
      </c>
      <c r="B17" s="3">
        <v>0.74</v>
      </c>
      <c r="C17" s="3">
        <v>1.04</v>
      </c>
      <c r="D17" s="3">
        <v>0.75</v>
      </c>
      <c r="E17" s="3">
        <v>1.22</v>
      </c>
      <c r="F17" s="3">
        <v>0.91</v>
      </c>
      <c r="G17" s="3">
        <v>4.3499999999999996</v>
      </c>
      <c r="H17" s="3">
        <v>14.1</v>
      </c>
      <c r="I17" s="3">
        <v>15.9</v>
      </c>
      <c r="J17" s="3">
        <v>17.600000000000001</v>
      </c>
      <c r="K17" s="3">
        <v>22</v>
      </c>
      <c r="L17" s="3">
        <v>8.4000000000000005E-2</v>
      </c>
      <c r="M17" s="3">
        <v>0.21</v>
      </c>
      <c r="N17" s="9">
        <f t="shared" si="0"/>
        <v>4799.8214876033062</v>
      </c>
    </row>
    <row r="18" spans="1:14">
      <c r="A18" s="2">
        <v>1969</v>
      </c>
      <c r="B18" s="3">
        <v>0.32</v>
      </c>
      <c r="C18" s="3">
        <v>63.7</v>
      </c>
      <c r="D18" s="3">
        <v>99.8</v>
      </c>
      <c r="E18" s="3">
        <v>11.4</v>
      </c>
      <c r="F18" s="3">
        <v>47</v>
      </c>
      <c r="G18" s="3">
        <v>4.58</v>
      </c>
      <c r="H18" s="3">
        <v>20.5</v>
      </c>
      <c r="I18" s="3">
        <v>25.5</v>
      </c>
      <c r="J18" s="3">
        <v>12.8</v>
      </c>
      <c r="K18" s="3">
        <v>4.3099999999999996</v>
      </c>
      <c r="L18" s="3">
        <v>2.2799999999999998</v>
      </c>
      <c r="M18" s="3">
        <v>2.0499999999999998</v>
      </c>
      <c r="N18" s="9">
        <f t="shared" si="0"/>
        <v>17683.051239669421</v>
      </c>
    </row>
    <row r="19" spans="1:14">
      <c r="A19" s="2">
        <v>1970</v>
      </c>
      <c r="B19" s="3">
        <v>4.6100000000000003</v>
      </c>
      <c r="C19" s="3">
        <v>4</v>
      </c>
      <c r="D19" s="3">
        <v>3.5</v>
      </c>
      <c r="E19" s="3">
        <v>23</v>
      </c>
      <c r="F19" s="3">
        <v>5.48</v>
      </c>
      <c r="G19" s="3">
        <v>13.4</v>
      </c>
      <c r="H19" s="3">
        <v>0.64</v>
      </c>
      <c r="I19" s="3">
        <v>7.0000000000000001E-3</v>
      </c>
      <c r="J19" s="3">
        <v>0.41</v>
      </c>
      <c r="K19" s="3">
        <v>0.54</v>
      </c>
      <c r="L19" s="3">
        <v>3.69</v>
      </c>
      <c r="M19" s="3">
        <v>0.91</v>
      </c>
      <c r="N19" s="9">
        <f t="shared" si="0"/>
        <v>3598.605619834711</v>
      </c>
    </row>
    <row r="20" spans="1:14">
      <c r="A20" s="2">
        <v>1971</v>
      </c>
      <c r="B20" s="3">
        <v>0.61</v>
      </c>
      <c r="C20" s="3">
        <v>34.299999999999997</v>
      </c>
      <c r="D20" s="3">
        <v>9.34</v>
      </c>
      <c r="E20" s="3">
        <v>3.57</v>
      </c>
      <c r="F20" s="3">
        <v>6.79</v>
      </c>
      <c r="G20" s="3">
        <v>45.5</v>
      </c>
      <c r="H20" s="3">
        <v>11.6</v>
      </c>
      <c r="I20" s="3">
        <v>0.7</v>
      </c>
      <c r="J20" s="3">
        <v>14.2</v>
      </c>
      <c r="K20" s="3">
        <v>0.21</v>
      </c>
      <c r="L20" s="3">
        <v>3.29</v>
      </c>
      <c r="M20" s="3">
        <v>1.25</v>
      </c>
      <c r="N20" s="9">
        <f t="shared" si="0"/>
        <v>7757.9008264462809</v>
      </c>
    </row>
    <row r="21" spans="1:14">
      <c r="A21" s="2">
        <v>1972</v>
      </c>
      <c r="B21" s="3">
        <v>1.1499999999999999</v>
      </c>
      <c r="C21" s="3">
        <v>0.94</v>
      </c>
      <c r="D21" s="3">
        <v>1.59</v>
      </c>
      <c r="E21" s="3">
        <v>1.55</v>
      </c>
      <c r="F21" s="3">
        <v>29.6</v>
      </c>
      <c r="G21" s="3">
        <v>8.2100000000000009</v>
      </c>
      <c r="H21" s="3">
        <v>40.5</v>
      </c>
      <c r="I21" s="3">
        <v>31.2</v>
      </c>
      <c r="J21" s="3">
        <v>4.74</v>
      </c>
      <c r="K21" s="3">
        <v>0.92</v>
      </c>
      <c r="L21" s="3">
        <v>5.07</v>
      </c>
      <c r="M21" s="3">
        <v>4.4400000000000004</v>
      </c>
      <c r="N21" s="9">
        <f t="shared" si="0"/>
        <v>7943.9107438016517</v>
      </c>
    </row>
    <row r="22" spans="1:14">
      <c r="A22" s="2">
        <v>1973</v>
      </c>
      <c r="B22" s="3">
        <v>23</v>
      </c>
      <c r="C22" s="3">
        <v>7.2</v>
      </c>
      <c r="D22" s="3">
        <v>34</v>
      </c>
      <c r="E22" s="3">
        <v>60.1</v>
      </c>
      <c r="F22" s="3">
        <v>42.4</v>
      </c>
      <c r="G22" s="3">
        <v>36.1</v>
      </c>
      <c r="H22" s="3">
        <v>23.8</v>
      </c>
      <c r="I22" s="3">
        <v>11.7</v>
      </c>
      <c r="J22" s="3">
        <v>519</v>
      </c>
      <c r="K22" s="3">
        <v>319</v>
      </c>
      <c r="L22" s="3">
        <v>84.6</v>
      </c>
      <c r="M22" s="3">
        <v>35.299999999999997</v>
      </c>
      <c r="N22" s="9">
        <f t="shared" si="0"/>
        <v>72124.165289256212</v>
      </c>
    </row>
    <row r="23" spans="1:14">
      <c r="A23" s="2">
        <v>1974</v>
      </c>
      <c r="B23" s="3">
        <v>65.5</v>
      </c>
      <c r="C23" s="3">
        <v>40.200000000000003</v>
      </c>
      <c r="D23" s="3">
        <v>32.1</v>
      </c>
      <c r="E23" s="3">
        <v>31.7</v>
      </c>
      <c r="F23" s="3">
        <v>20.100000000000001</v>
      </c>
      <c r="G23" s="3">
        <v>13.2</v>
      </c>
      <c r="H23" s="3">
        <v>5.2</v>
      </c>
      <c r="I23" s="3">
        <v>7.98</v>
      </c>
      <c r="J23" s="3">
        <v>3.58</v>
      </c>
      <c r="K23" s="3">
        <v>3.54</v>
      </c>
      <c r="L23" s="3">
        <v>5.9</v>
      </c>
      <c r="M23" s="3">
        <v>6.03</v>
      </c>
      <c r="N23" s="9">
        <f t="shared" si="0"/>
        <v>14124.297520661157</v>
      </c>
    </row>
    <row r="24" spans="1:14">
      <c r="A24" s="2">
        <v>1975</v>
      </c>
      <c r="B24" s="3">
        <v>6.86</v>
      </c>
      <c r="C24" s="3">
        <v>26.5</v>
      </c>
      <c r="D24" s="3">
        <v>79.099999999999994</v>
      </c>
      <c r="E24" s="3">
        <v>16.600000000000001</v>
      </c>
      <c r="F24" s="3">
        <v>10.199999999999999</v>
      </c>
      <c r="G24" s="3">
        <v>245</v>
      </c>
      <c r="H24" s="3">
        <v>18.600000000000001</v>
      </c>
      <c r="I24" s="3">
        <v>7.46</v>
      </c>
      <c r="J24" s="3">
        <v>1.95</v>
      </c>
      <c r="K24" s="3">
        <v>1.93</v>
      </c>
      <c r="L24" s="3">
        <v>4.46</v>
      </c>
      <c r="M24" s="3">
        <v>5.77</v>
      </c>
      <c r="N24" s="9">
        <f t="shared" si="0"/>
        <v>25421.047933884296</v>
      </c>
    </row>
    <row r="25" spans="1:14">
      <c r="A25" s="2">
        <v>1976</v>
      </c>
      <c r="B25" s="3">
        <v>5.39</v>
      </c>
      <c r="C25" s="3">
        <v>7.2</v>
      </c>
      <c r="D25" s="3">
        <v>9.5399999999999991</v>
      </c>
      <c r="E25" s="3">
        <v>56.1</v>
      </c>
      <c r="F25" s="3">
        <v>10.9</v>
      </c>
      <c r="G25" s="3">
        <v>3.63</v>
      </c>
      <c r="H25" s="3">
        <v>11.7</v>
      </c>
      <c r="I25" s="3">
        <v>0.28000000000000003</v>
      </c>
      <c r="J25" s="3">
        <v>0.11</v>
      </c>
      <c r="K25" s="3">
        <v>0.17</v>
      </c>
      <c r="L25" s="3">
        <v>0.57999999999999996</v>
      </c>
      <c r="M25" s="3">
        <v>1</v>
      </c>
      <c r="N25" s="9">
        <f t="shared" si="0"/>
        <v>6395.4644628099177</v>
      </c>
    </row>
    <row r="26" spans="1:14">
      <c r="A26" s="2">
        <v>1977</v>
      </c>
      <c r="B26" s="3">
        <v>0.73</v>
      </c>
      <c r="C26" s="3">
        <v>2.34</v>
      </c>
      <c r="D26" s="3">
        <v>3.82</v>
      </c>
      <c r="E26" s="3">
        <v>6.47</v>
      </c>
      <c r="F26" s="3">
        <v>15</v>
      </c>
      <c r="G26" s="3">
        <v>10.8</v>
      </c>
      <c r="H26" s="3">
        <v>11.6</v>
      </c>
      <c r="I26" s="3">
        <v>11.1</v>
      </c>
      <c r="J26" s="3">
        <v>0.68</v>
      </c>
      <c r="K26" s="3">
        <v>0.32</v>
      </c>
      <c r="L26" s="3">
        <v>0.77</v>
      </c>
      <c r="M26" s="3">
        <v>0.84</v>
      </c>
      <c r="N26" s="9">
        <f t="shared" si="0"/>
        <v>3914.2115702479341</v>
      </c>
    </row>
    <row r="27" spans="1:14">
      <c r="A27" s="2">
        <v>1978</v>
      </c>
      <c r="B27" s="3">
        <v>0.75</v>
      </c>
      <c r="C27" s="3">
        <v>1.69</v>
      </c>
      <c r="D27" s="3">
        <v>106</v>
      </c>
      <c r="E27" s="3">
        <v>9.6999999999999993</v>
      </c>
      <c r="F27" s="3">
        <v>22.1</v>
      </c>
      <c r="G27" s="3">
        <v>5.76</v>
      </c>
      <c r="H27" s="3">
        <v>16.5</v>
      </c>
      <c r="I27" s="3">
        <v>29.2</v>
      </c>
      <c r="J27" s="3">
        <v>73.5</v>
      </c>
      <c r="K27" s="3">
        <v>0.4</v>
      </c>
      <c r="L27" s="3">
        <v>2.5099999999999998</v>
      </c>
      <c r="M27" s="3">
        <v>2.13</v>
      </c>
      <c r="N27" s="9">
        <f t="shared" si="0"/>
        <v>16425.763636363637</v>
      </c>
    </row>
    <row r="28" spans="1:14">
      <c r="A28" s="2">
        <v>1979</v>
      </c>
      <c r="B28" s="3">
        <v>0.87</v>
      </c>
      <c r="C28" s="3">
        <v>67.099999999999994</v>
      </c>
      <c r="D28" s="3">
        <v>112</v>
      </c>
      <c r="E28" s="3">
        <v>17</v>
      </c>
      <c r="F28" s="3">
        <v>14.7</v>
      </c>
      <c r="G28" s="3">
        <v>30.7</v>
      </c>
      <c r="H28" s="3">
        <v>26.9</v>
      </c>
      <c r="I28" s="3">
        <v>4.8</v>
      </c>
      <c r="J28" s="3">
        <v>2.44</v>
      </c>
      <c r="K28" s="3">
        <v>26.8</v>
      </c>
      <c r="L28" s="3">
        <v>12.1</v>
      </c>
      <c r="M28" s="3">
        <v>3.98</v>
      </c>
      <c r="N28" s="9">
        <f t="shared" si="0"/>
        <v>19149.074380165286</v>
      </c>
    </row>
    <row r="29" spans="1:14">
      <c r="A29" s="2">
        <v>1980</v>
      </c>
      <c r="B29" s="3">
        <v>4.47</v>
      </c>
      <c r="C29" s="3">
        <v>8.2799999999999994</v>
      </c>
      <c r="D29" s="3">
        <v>29.9</v>
      </c>
      <c r="E29" s="3">
        <v>69.3</v>
      </c>
      <c r="F29" s="3">
        <v>14.6</v>
      </c>
      <c r="G29" s="3">
        <v>43.8</v>
      </c>
      <c r="H29" s="3">
        <v>1.1499999999999999</v>
      </c>
      <c r="I29" s="3">
        <v>0.55000000000000004</v>
      </c>
      <c r="J29" s="3">
        <v>0.32</v>
      </c>
      <c r="K29" s="3">
        <v>1.1599999999999999</v>
      </c>
      <c r="L29" s="3">
        <v>1.24</v>
      </c>
      <c r="M29" s="3">
        <v>1.94</v>
      </c>
      <c r="N29" s="9">
        <f t="shared" si="0"/>
        <v>10592.885950413223</v>
      </c>
    </row>
    <row r="30" spans="1:14">
      <c r="A30" s="2">
        <v>1981</v>
      </c>
      <c r="B30" s="3">
        <v>2.34</v>
      </c>
      <c r="C30" s="3">
        <v>3.18</v>
      </c>
      <c r="D30" s="3">
        <v>5.22</v>
      </c>
      <c r="E30" s="3">
        <v>3.56</v>
      </c>
      <c r="F30" s="3">
        <v>141</v>
      </c>
      <c r="G30" s="3">
        <v>17.3</v>
      </c>
      <c r="H30" s="3">
        <v>19.3</v>
      </c>
      <c r="I30" s="3">
        <v>19.899999999999999</v>
      </c>
      <c r="J30" s="3">
        <v>2.85</v>
      </c>
      <c r="K30" s="3">
        <v>1.46</v>
      </c>
      <c r="L30" s="3">
        <v>4.37</v>
      </c>
      <c r="M30" s="3">
        <v>8.19</v>
      </c>
      <c r="N30" s="9">
        <f t="shared" si="0"/>
        <v>13987.328925619837</v>
      </c>
    </row>
    <row r="31" spans="1:14">
      <c r="A31" s="2">
        <v>1982</v>
      </c>
      <c r="B31" s="3">
        <v>3.62</v>
      </c>
      <c r="C31" s="3">
        <v>24</v>
      </c>
      <c r="D31" s="3">
        <v>27</v>
      </c>
      <c r="E31" s="3">
        <v>10</v>
      </c>
      <c r="F31" s="3">
        <v>125</v>
      </c>
      <c r="G31" s="3">
        <v>31</v>
      </c>
      <c r="H31" s="3">
        <v>39.299999999999997</v>
      </c>
      <c r="I31" s="3">
        <v>6.28</v>
      </c>
      <c r="J31" s="3">
        <v>3.67</v>
      </c>
      <c r="K31" s="3">
        <v>8.23</v>
      </c>
      <c r="L31" s="3">
        <v>8.3000000000000007</v>
      </c>
      <c r="M31" s="3">
        <v>8.9</v>
      </c>
      <c r="N31" s="9">
        <f t="shared" si="0"/>
        <v>17921.31570247934</v>
      </c>
    </row>
    <row r="32" spans="1:14">
      <c r="A32" s="2">
        <v>1983</v>
      </c>
      <c r="B32" s="3">
        <v>11.4</v>
      </c>
      <c r="C32" s="3">
        <v>23.6</v>
      </c>
      <c r="D32" s="3">
        <v>17.5</v>
      </c>
      <c r="E32" s="3">
        <v>17.3</v>
      </c>
      <c r="F32" s="3">
        <v>48.5</v>
      </c>
      <c r="G32" s="3">
        <v>24.2</v>
      </c>
      <c r="H32" s="3">
        <v>6.21</v>
      </c>
      <c r="I32" s="3">
        <v>3.23</v>
      </c>
      <c r="J32" s="3">
        <v>14.8</v>
      </c>
      <c r="K32" s="3">
        <v>39.1</v>
      </c>
      <c r="L32" s="3">
        <v>7.87</v>
      </c>
      <c r="M32" s="3">
        <v>7.88</v>
      </c>
      <c r="N32" s="9">
        <f t="shared" si="0"/>
        <v>13369.03140495868</v>
      </c>
    </row>
    <row r="33" spans="1:14">
      <c r="A33" s="2">
        <v>1984</v>
      </c>
      <c r="B33" s="3">
        <v>27.4</v>
      </c>
      <c r="C33" s="3">
        <v>36.6</v>
      </c>
      <c r="D33" s="3">
        <v>36.9</v>
      </c>
      <c r="E33" s="3">
        <v>129</v>
      </c>
      <c r="F33" s="3">
        <v>96.5</v>
      </c>
      <c r="G33" s="3">
        <v>74.599999999999994</v>
      </c>
      <c r="H33" s="3">
        <v>20.100000000000001</v>
      </c>
      <c r="I33" s="3">
        <v>3.95</v>
      </c>
      <c r="J33" s="3">
        <v>3.41</v>
      </c>
      <c r="K33" s="3">
        <v>6.33</v>
      </c>
      <c r="L33" s="3">
        <v>6.78</v>
      </c>
      <c r="M33" s="3">
        <v>12</v>
      </c>
      <c r="N33" s="9">
        <f t="shared" si="0"/>
        <v>27265.249586776859</v>
      </c>
    </row>
    <row r="34" spans="1:14">
      <c r="A34" s="2">
        <v>1985</v>
      </c>
      <c r="B34" s="3">
        <v>12.4</v>
      </c>
      <c r="C34" s="3">
        <v>44.7</v>
      </c>
      <c r="D34" s="3">
        <v>20.7</v>
      </c>
      <c r="E34" s="3">
        <v>29</v>
      </c>
      <c r="F34" s="3">
        <v>174</v>
      </c>
      <c r="G34" s="3">
        <v>25.8</v>
      </c>
      <c r="H34" s="3">
        <v>40</v>
      </c>
      <c r="I34" s="3">
        <v>101</v>
      </c>
      <c r="J34" s="3">
        <v>14.2</v>
      </c>
      <c r="K34" s="3">
        <v>18.8</v>
      </c>
      <c r="L34" s="3">
        <v>14.2</v>
      </c>
      <c r="M34" s="3">
        <v>16.399999999999999</v>
      </c>
      <c r="N34" s="9">
        <f t="shared" si="0"/>
        <v>31023.619834710742</v>
      </c>
    </row>
    <row r="35" spans="1:14">
      <c r="A35" s="2">
        <v>1986</v>
      </c>
      <c r="B35" s="3">
        <v>18.7</v>
      </c>
      <c r="C35" s="3">
        <v>18.399999999999999</v>
      </c>
      <c r="D35" s="3">
        <v>17.7</v>
      </c>
      <c r="E35" s="3">
        <v>42.2</v>
      </c>
      <c r="F35" s="3">
        <v>45.8</v>
      </c>
      <c r="G35" s="3">
        <v>15.6</v>
      </c>
      <c r="H35" s="3">
        <v>7.29</v>
      </c>
      <c r="I35" s="3">
        <v>14.5</v>
      </c>
      <c r="J35" s="3">
        <v>44</v>
      </c>
      <c r="K35" s="3">
        <v>87.9</v>
      </c>
      <c r="L35" s="3">
        <v>16.899999999999999</v>
      </c>
      <c r="M35" s="3">
        <v>20.399999999999999</v>
      </c>
      <c r="N35" s="9">
        <f t="shared" si="0"/>
        <v>21147.352066115702</v>
      </c>
    </row>
    <row r="36" spans="1:14">
      <c r="A36" s="2">
        <v>1987</v>
      </c>
      <c r="B36" s="3">
        <v>17.5</v>
      </c>
      <c r="C36" s="3">
        <v>18.600000000000001</v>
      </c>
      <c r="D36" s="3">
        <v>183</v>
      </c>
      <c r="E36" s="3">
        <v>236</v>
      </c>
      <c r="F36" s="3">
        <v>131</v>
      </c>
      <c r="G36" s="3">
        <v>102</v>
      </c>
      <c r="H36" s="3">
        <v>34.6</v>
      </c>
      <c r="I36" s="3">
        <v>18.7</v>
      </c>
      <c r="J36" s="3">
        <v>10.9</v>
      </c>
      <c r="K36" s="3">
        <v>11.3</v>
      </c>
      <c r="L36" s="3">
        <v>16.399999999999999</v>
      </c>
      <c r="M36" s="3">
        <v>20.9</v>
      </c>
      <c r="N36" s="9">
        <f t="shared" si="0"/>
        <v>48419.404958677689</v>
      </c>
    </row>
    <row r="37" spans="1:14">
      <c r="A37" s="2">
        <v>1988</v>
      </c>
      <c r="B37" s="3">
        <v>29.4</v>
      </c>
      <c r="C37" s="3">
        <v>37.9</v>
      </c>
      <c r="D37" s="3">
        <v>21</v>
      </c>
      <c r="E37" s="3">
        <v>18.3</v>
      </c>
      <c r="F37" s="3">
        <v>14.7</v>
      </c>
      <c r="G37" s="3">
        <v>5.26</v>
      </c>
      <c r="H37" s="3">
        <v>157</v>
      </c>
      <c r="I37" s="3">
        <v>12.7</v>
      </c>
      <c r="J37" s="3">
        <v>2.71</v>
      </c>
      <c r="K37" s="3">
        <v>2.11</v>
      </c>
      <c r="L37" s="3">
        <v>5.42</v>
      </c>
      <c r="M37" s="3">
        <v>6.15</v>
      </c>
      <c r="N37" s="9">
        <f t="shared" si="0"/>
        <v>18954.515702479341</v>
      </c>
    </row>
    <row r="38" spans="1:14">
      <c r="A38" s="2">
        <v>1989</v>
      </c>
      <c r="B38" s="3">
        <v>7.67</v>
      </c>
      <c r="C38" s="3">
        <v>8.3800000000000008</v>
      </c>
      <c r="D38" s="3">
        <v>9.0500000000000007</v>
      </c>
      <c r="E38" s="3">
        <v>7.18</v>
      </c>
      <c r="F38" s="3">
        <v>6.19</v>
      </c>
      <c r="G38" s="3">
        <v>31.8</v>
      </c>
      <c r="H38" s="3">
        <v>217</v>
      </c>
      <c r="I38" s="3">
        <v>12.3</v>
      </c>
      <c r="J38" s="3">
        <v>4.46</v>
      </c>
      <c r="K38" s="3">
        <v>2.16</v>
      </c>
      <c r="L38" s="3">
        <v>3.49</v>
      </c>
      <c r="M38" s="3">
        <v>4.37</v>
      </c>
      <c r="N38" s="9">
        <f t="shared" si="0"/>
        <v>19171.388429752064</v>
      </c>
    </row>
    <row r="39" spans="1:14">
      <c r="A39" s="2">
        <v>1990</v>
      </c>
      <c r="B39" s="3">
        <v>6.06</v>
      </c>
      <c r="C39" s="3">
        <v>7.99</v>
      </c>
      <c r="D39" s="3">
        <v>14.6</v>
      </c>
      <c r="E39" s="3">
        <v>11.9</v>
      </c>
      <c r="F39" s="3">
        <v>30</v>
      </c>
      <c r="G39" s="3">
        <v>70.5</v>
      </c>
      <c r="H39" s="3">
        <v>56.2</v>
      </c>
      <c r="I39" s="3">
        <v>18.8</v>
      </c>
      <c r="J39" s="3">
        <v>0.66</v>
      </c>
      <c r="K39" s="3">
        <v>1.8</v>
      </c>
      <c r="L39" s="3">
        <v>3</v>
      </c>
      <c r="M39" s="3">
        <v>2.65</v>
      </c>
      <c r="N39" s="9">
        <f t="shared" si="0"/>
        <v>13568.781818181818</v>
      </c>
    </row>
    <row r="40" spans="1:14">
      <c r="A40" s="2">
        <v>1991</v>
      </c>
      <c r="B40" s="3">
        <v>3.05</v>
      </c>
      <c r="C40" s="3">
        <v>11.3</v>
      </c>
      <c r="D40" s="3">
        <v>8.24</v>
      </c>
      <c r="E40" s="3">
        <v>5.01</v>
      </c>
      <c r="F40" s="3">
        <v>20.6</v>
      </c>
      <c r="G40" s="3">
        <v>3.81</v>
      </c>
      <c r="H40" s="3">
        <v>0.2</v>
      </c>
      <c r="I40" s="3">
        <v>3.2000000000000001E-2</v>
      </c>
      <c r="J40" s="3">
        <v>0</v>
      </c>
      <c r="K40" s="3">
        <v>3.0000000000000001E-3</v>
      </c>
      <c r="L40" s="3">
        <v>0.17</v>
      </c>
      <c r="M40" s="3">
        <v>0.91</v>
      </c>
      <c r="N40" s="9">
        <f t="shared" si="0"/>
        <v>3199.3586776859506</v>
      </c>
    </row>
    <row r="41" spans="1:14">
      <c r="A41" s="2">
        <v>1992</v>
      </c>
      <c r="B41" s="3">
        <v>1.77</v>
      </c>
      <c r="C41" s="3">
        <v>1.75</v>
      </c>
      <c r="D41" s="3">
        <v>4.45</v>
      </c>
      <c r="E41" s="3">
        <v>3.8</v>
      </c>
      <c r="F41" s="3">
        <v>1.67</v>
      </c>
      <c r="G41" s="3">
        <v>9.8699999999999992</v>
      </c>
      <c r="H41" s="3">
        <v>148</v>
      </c>
      <c r="I41" s="3">
        <v>42</v>
      </c>
      <c r="J41" s="3">
        <v>5.0999999999999996</v>
      </c>
      <c r="K41" s="3">
        <v>10.4</v>
      </c>
      <c r="L41" s="3">
        <v>5.31</v>
      </c>
      <c r="M41" s="3">
        <v>14.2</v>
      </c>
      <c r="N41" s="9">
        <f t="shared" si="0"/>
        <v>15211.294214876034</v>
      </c>
    </row>
    <row r="42" spans="1:14">
      <c r="A42" s="2">
        <v>1993</v>
      </c>
      <c r="B42" s="3">
        <v>5.0199999999999996</v>
      </c>
      <c r="C42" s="3">
        <v>143</v>
      </c>
      <c r="D42" s="3">
        <v>318</v>
      </c>
      <c r="E42" s="3">
        <v>49.2</v>
      </c>
      <c r="F42" s="3">
        <v>56.5</v>
      </c>
      <c r="G42" s="3">
        <v>51.1</v>
      </c>
      <c r="H42" s="3">
        <v>658</v>
      </c>
      <c r="I42" s="3">
        <v>166</v>
      </c>
      <c r="J42" s="3">
        <v>144</v>
      </c>
      <c r="K42" s="3">
        <v>54</v>
      </c>
      <c r="L42" s="3">
        <v>46.9</v>
      </c>
      <c r="M42" s="3">
        <v>43.5</v>
      </c>
      <c r="N42" s="9">
        <f t="shared" si="0"/>
        <v>105336.93223140495</v>
      </c>
    </row>
    <row r="43" spans="1:14">
      <c r="A43" s="2">
        <v>1994</v>
      </c>
      <c r="B43" s="3">
        <v>36.700000000000003</v>
      </c>
      <c r="C43" s="3">
        <v>34.9</v>
      </c>
      <c r="D43" s="3">
        <v>72.7</v>
      </c>
      <c r="E43" s="3">
        <v>47.4</v>
      </c>
      <c r="F43" s="3">
        <v>36.700000000000003</v>
      </c>
      <c r="G43" s="3">
        <v>16.899999999999999</v>
      </c>
      <c r="H43" s="3">
        <v>15.5</v>
      </c>
      <c r="I43" s="3">
        <v>7.58</v>
      </c>
      <c r="J43" s="3">
        <v>5.41</v>
      </c>
      <c r="K43" s="3">
        <v>6.95</v>
      </c>
      <c r="L43" s="3">
        <v>10.6</v>
      </c>
      <c r="M43" s="3">
        <v>12.6</v>
      </c>
      <c r="N43" s="9">
        <f t="shared" si="0"/>
        <v>18338.885950413227</v>
      </c>
    </row>
    <row r="44" spans="1:14">
      <c r="A44" s="2">
        <v>1995</v>
      </c>
      <c r="B44" s="3">
        <v>17</v>
      </c>
      <c r="C44" s="3">
        <v>16.600000000000001</v>
      </c>
      <c r="D44" s="3">
        <v>15.6</v>
      </c>
      <c r="E44" s="3">
        <v>16.7</v>
      </c>
      <c r="F44" s="3">
        <v>142</v>
      </c>
      <c r="G44" s="3">
        <v>39.6</v>
      </c>
      <c r="H44" s="3">
        <v>22.1</v>
      </c>
      <c r="I44" s="3">
        <v>27.9</v>
      </c>
      <c r="J44" s="3">
        <v>5.44</v>
      </c>
      <c r="K44" s="3">
        <v>6.79</v>
      </c>
      <c r="L44" s="3">
        <v>7.54</v>
      </c>
      <c r="M44" s="3">
        <v>6.86</v>
      </c>
      <c r="N44" s="9">
        <f t="shared" si="0"/>
        <v>19702.016528925622</v>
      </c>
    </row>
    <row r="45" spans="1:14">
      <c r="A45" s="2">
        <v>1996</v>
      </c>
      <c r="B45" s="3">
        <v>8.7100000000000009</v>
      </c>
      <c r="C45" s="3">
        <v>21.7</v>
      </c>
      <c r="D45" s="3">
        <v>18.100000000000001</v>
      </c>
      <c r="E45" s="3">
        <v>19.399999999999999</v>
      </c>
      <c r="F45" s="3">
        <v>30.5</v>
      </c>
      <c r="G45" s="3">
        <v>10.9</v>
      </c>
      <c r="H45" s="3">
        <v>30.6</v>
      </c>
      <c r="I45" s="3">
        <v>11.6</v>
      </c>
      <c r="J45" s="3">
        <v>5.37</v>
      </c>
      <c r="K45" s="3">
        <v>3.57</v>
      </c>
      <c r="L45" s="3">
        <v>120</v>
      </c>
      <c r="M45" s="3">
        <v>20.399999999999999</v>
      </c>
      <c r="N45" s="9">
        <f t="shared" si="0"/>
        <v>18071.414876033061</v>
      </c>
    </row>
    <row r="46" spans="1:14">
      <c r="A46" s="2">
        <v>1997</v>
      </c>
      <c r="B46" s="3">
        <v>17.5</v>
      </c>
      <c r="C46" s="3">
        <v>20.6</v>
      </c>
      <c r="D46" s="3">
        <v>21.2</v>
      </c>
      <c r="E46" s="3">
        <v>23</v>
      </c>
      <c r="F46" s="3">
        <v>24.5</v>
      </c>
      <c r="G46" s="3">
        <v>180</v>
      </c>
      <c r="H46" s="3">
        <v>17.8</v>
      </c>
      <c r="I46" s="3">
        <v>9.65</v>
      </c>
      <c r="J46" s="3">
        <v>4.13</v>
      </c>
      <c r="K46" s="3">
        <v>7.94</v>
      </c>
      <c r="L46" s="3">
        <v>33</v>
      </c>
      <c r="M46" s="3">
        <v>28.4</v>
      </c>
      <c r="N46" s="9">
        <f t="shared" si="0"/>
        <v>23251.319008264458</v>
      </c>
    </row>
    <row r="47" spans="1:14">
      <c r="A47" s="2">
        <v>1998</v>
      </c>
      <c r="B47" s="3">
        <v>23.1</v>
      </c>
      <c r="C47" s="3">
        <v>27.4</v>
      </c>
      <c r="D47" s="3">
        <v>43.5</v>
      </c>
      <c r="E47" s="3">
        <v>162</v>
      </c>
      <c r="F47" s="3">
        <v>40.5</v>
      </c>
      <c r="G47" s="3">
        <v>19.899999999999999</v>
      </c>
      <c r="H47" s="3">
        <v>136</v>
      </c>
      <c r="I47" s="3">
        <v>40.9</v>
      </c>
      <c r="J47" s="3">
        <v>9.64</v>
      </c>
      <c r="K47" s="3">
        <v>10</v>
      </c>
      <c r="L47" s="3">
        <v>25.3</v>
      </c>
      <c r="M47" s="3">
        <v>20.2</v>
      </c>
      <c r="N47" s="9">
        <f t="shared" si="0"/>
        <v>33757.586776859505</v>
      </c>
    </row>
    <row r="48" spans="1:14">
      <c r="A48" s="2">
        <v>1999</v>
      </c>
      <c r="B48" s="3">
        <v>22</v>
      </c>
      <c r="C48" s="3">
        <v>22.7</v>
      </c>
      <c r="D48" s="3">
        <v>20.5</v>
      </c>
      <c r="E48" s="3">
        <v>39.9</v>
      </c>
      <c r="F48" s="3">
        <v>86.8</v>
      </c>
      <c r="G48" s="3">
        <v>25.1</v>
      </c>
      <c r="H48" s="3">
        <v>9.6300000000000008</v>
      </c>
      <c r="I48" s="3">
        <v>7.25</v>
      </c>
      <c r="J48" s="3">
        <v>3.46</v>
      </c>
      <c r="K48" s="3">
        <v>4.49</v>
      </c>
      <c r="L48" s="3">
        <v>5.95</v>
      </c>
      <c r="M48" s="3">
        <v>8.4600000000000009</v>
      </c>
      <c r="N48" s="9">
        <f t="shared" si="0"/>
        <v>15484.17520661157</v>
      </c>
    </row>
    <row r="49" spans="1:14">
      <c r="A49" s="2">
        <v>2000</v>
      </c>
      <c r="B49" s="3">
        <v>10.7</v>
      </c>
      <c r="C49" s="3">
        <v>15</v>
      </c>
      <c r="D49" s="3">
        <v>17.100000000000001</v>
      </c>
      <c r="E49" s="3">
        <v>13.6</v>
      </c>
      <c r="F49" s="3">
        <v>10.1</v>
      </c>
      <c r="G49" s="3">
        <v>2.11</v>
      </c>
      <c r="H49" s="3">
        <v>0.78</v>
      </c>
      <c r="I49" s="3">
        <v>4.5999999999999999E-2</v>
      </c>
      <c r="J49" s="3">
        <v>0</v>
      </c>
      <c r="K49" s="3">
        <v>1E-3</v>
      </c>
      <c r="L49" s="3">
        <v>5.19</v>
      </c>
      <c r="M49" s="3">
        <v>1.88</v>
      </c>
      <c r="N49" s="9">
        <f t="shared" si="0"/>
        <v>4580.9593388429757</v>
      </c>
    </row>
    <row r="50" spans="1:14">
      <c r="A50" s="2">
        <v>2001</v>
      </c>
      <c r="B50" s="3">
        <v>2.76</v>
      </c>
      <c r="C50" s="3">
        <v>7.09</v>
      </c>
      <c r="D50" s="3">
        <v>76.900000000000006</v>
      </c>
      <c r="E50" s="3">
        <v>13.7</v>
      </c>
      <c r="F50" s="3">
        <v>149</v>
      </c>
      <c r="G50" s="3">
        <v>41.3</v>
      </c>
      <c r="H50" s="3">
        <v>58.7</v>
      </c>
      <c r="I50" s="3">
        <v>6.02</v>
      </c>
      <c r="J50" s="3">
        <v>3.29</v>
      </c>
      <c r="K50" s="3">
        <v>3.15</v>
      </c>
      <c r="L50" s="3">
        <v>6.7</v>
      </c>
      <c r="M50" s="3">
        <v>9.1</v>
      </c>
      <c r="N50" s="9">
        <f t="shared" si="0"/>
        <v>23056.904132231411</v>
      </c>
    </row>
    <row r="51" spans="1:14">
      <c r="A51" s="2">
        <v>2002</v>
      </c>
      <c r="B51" s="3">
        <v>9.33</v>
      </c>
      <c r="C51" s="3">
        <v>13.4</v>
      </c>
      <c r="D51" s="3">
        <v>13.4</v>
      </c>
      <c r="E51" s="3">
        <v>13.5</v>
      </c>
      <c r="F51" s="3">
        <v>21.1</v>
      </c>
      <c r="G51" s="3">
        <v>3.93</v>
      </c>
      <c r="H51" s="3">
        <v>0.72</v>
      </c>
      <c r="I51" s="3">
        <v>0.11</v>
      </c>
      <c r="J51" s="3">
        <v>2.9000000000000001E-2</v>
      </c>
      <c r="K51" s="3">
        <v>3.17</v>
      </c>
      <c r="L51" s="3">
        <v>0.4</v>
      </c>
      <c r="M51" s="3">
        <v>0.56999999999999995</v>
      </c>
      <c r="N51" s="9">
        <f t="shared" si="0"/>
        <v>4789.5272727272732</v>
      </c>
    </row>
    <row r="52" spans="1:14">
      <c r="A52" s="2">
        <v>2003</v>
      </c>
      <c r="B52" s="3">
        <v>0.89</v>
      </c>
      <c r="C52" s="3">
        <v>1.84</v>
      </c>
      <c r="D52" s="3">
        <v>3.32</v>
      </c>
      <c r="E52" s="3">
        <v>4.6900000000000004</v>
      </c>
      <c r="F52" s="3">
        <v>11</v>
      </c>
      <c r="G52" s="3">
        <v>4.07</v>
      </c>
      <c r="H52" s="3">
        <v>2.8000000000000001E-2</v>
      </c>
      <c r="I52" s="3">
        <v>0.36</v>
      </c>
      <c r="J52" s="3">
        <v>2.19</v>
      </c>
      <c r="K52" s="3">
        <v>3.7999999999999999E-2</v>
      </c>
      <c r="L52" s="3">
        <v>0.03</v>
      </c>
      <c r="M52" s="3">
        <v>8.3000000000000004E-2</v>
      </c>
      <c r="N52" s="9">
        <f t="shared" si="0"/>
        <v>1722.9798347107439</v>
      </c>
    </row>
    <row r="53" spans="1:14">
      <c r="A53" s="2">
        <f>A52+1</f>
        <v>2004</v>
      </c>
      <c r="B53">
        <v>0.114</v>
      </c>
      <c r="C53">
        <v>0.51300000000000001</v>
      </c>
      <c r="D53">
        <v>3.49</v>
      </c>
      <c r="E53">
        <v>1.37</v>
      </c>
      <c r="F53">
        <v>0.92</v>
      </c>
      <c r="G53">
        <v>0.97399999999999998</v>
      </c>
      <c r="H53">
        <v>24</v>
      </c>
      <c r="I53">
        <v>0.84099999999999997</v>
      </c>
      <c r="J53">
        <v>8.6999999999999994E-2</v>
      </c>
      <c r="K53">
        <v>0.158</v>
      </c>
      <c r="L53">
        <v>0.39</v>
      </c>
      <c r="M53">
        <v>0.48399999999999999</v>
      </c>
      <c r="N53" s="9">
        <f t="shared" si="0"/>
        <v>2041.664628099174</v>
      </c>
    </row>
    <row r="54" spans="1:14">
      <c r="A54" s="2">
        <f t="shared" ref="A54:A66" si="1">A53+1</f>
        <v>2005</v>
      </c>
      <c r="B54">
        <v>0.67800000000000005</v>
      </c>
      <c r="C54">
        <v>1.71</v>
      </c>
      <c r="D54">
        <v>2.82</v>
      </c>
      <c r="E54">
        <v>2.2000000000000002</v>
      </c>
      <c r="F54">
        <v>1.23</v>
      </c>
      <c r="G54">
        <v>1.23</v>
      </c>
      <c r="H54">
        <v>37.5</v>
      </c>
      <c r="I54">
        <v>11.1</v>
      </c>
      <c r="J54">
        <v>0.43099999999999999</v>
      </c>
      <c r="K54">
        <v>7.0999999999999994E-2</v>
      </c>
      <c r="L54">
        <v>0.372</v>
      </c>
      <c r="M54">
        <v>0.51800000000000002</v>
      </c>
      <c r="N54" s="9">
        <f t="shared" si="0"/>
        <v>3662.9246280991738</v>
      </c>
    </row>
    <row r="55" spans="1:14">
      <c r="A55" s="2">
        <f t="shared" si="1"/>
        <v>2006</v>
      </c>
      <c r="B55">
        <v>0.57299999999999995</v>
      </c>
      <c r="C55">
        <v>0.68500000000000005</v>
      </c>
      <c r="D55">
        <v>1.96</v>
      </c>
      <c r="E55">
        <v>2.78</v>
      </c>
      <c r="F55">
        <v>19.7</v>
      </c>
      <c r="G55">
        <v>0.23699999999999999</v>
      </c>
      <c r="H55">
        <v>0.92900000000000005</v>
      </c>
      <c r="I55">
        <v>0.27700000000000002</v>
      </c>
      <c r="J55">
        <v>1.73</v>
      </c>
      <c r="K55">
        <v>0.122</v>
      </c>
      <c r="L55">
        <v>0.24</v>
      </c>
      <c r="M55">
        <v>0.52500000000000002</v>
      </c>
      <c r="N55" s="9">
        <f t="shared" si="0"/>
        <v>1816.1201652892562</v>
      </c>
    </row>
    <row r="56" spans="1:14">
      <c r="A56" s="2">
        <f t="shared" si="1"/>
        <v>2007</v>
      </c>
      <c r="B56">
        <v>0.51200000000000001</v>
      </c>
      <c r="C56">
        <v>9.41</v>
      </c>
      <c r="D56">
        <v>1.78</v>
      </c>
      <c r="E56">
        <v>2.0099999999999998</v>
      </c>
      <c r="F56">
        <v>7.98</v>
      </c>
      <c r="G56">
        <v>63.5</v>
      </c>
      <c r="H56">
        <v>5.1100000000000003</v>
      </c>
      <c r="I56">
        <v>8.2100000000000009</v>
      </c>
      <c r="J56">
        <v>1.27</v>
      </c>
      <c r="K56">
        <v>18.3</v>
      </c>
      <c r="L56">
        <v>3.19</v>
      </c>
      <c r="M56">
        <v>4.4800000000000004</v>
      </c>
      <c r="N56" s="9">
        <f t="shared" si="0"/>
        <v>7542.0783471074383</v>
      </c>
    </row>
    <row r="57" spans="1:14">
      <c r="A57" s="2">
        <f t="shared" si="1"/>
        <v>2008</v>
      </c>
      <c r="B57">
        <v>7.87</v>
      </c>
      <c r="C57">
        <v>14.2</v>
      </c>
      <c r="D57">
        <v>9.0299999999999994</v>
      </c>
      <c r="E57">
        <v>21.8</v>
      </c>
      <c r="F57">
        <v>225.3</v>
      </c>
      <c r="G57">
        <v>96.9</v>
      </c>
      <c r="H57">
        <v>46.9</v>
      </c>
      <c r="I57">
        <v>12.2</v>
      </c>
      <c r="J57">
        <v>7.16</v>
      </c>
      <c r="K57">
        <v>168.8</v>
      </c>
      <c r="L57">
        <v>39.799999999999997</v>
      </c>
      <c r="M57">
        <v>27.1</v>
      </c>
      <c r="N57" s="9">
        <f t="shared" si="0"/>
        <v>41224.760330578509</v>
      </c>
    </row>
    <row r="58" spans="1:14">
      <c r="A58" s="2">
        <f t="shared" si="1"/>
        <v>2009</v>
      </c>
      <c r="B58">
        <v>23.9</v>
      </c>
      <c r="C58">
        <v>25</v>
      </c>
      <c r="D58">
        <v>21.2</v>
      </c>
      <c r="E58">
        <v>28.1</v>
      </c>
      <c r="F58">
        <v>38.799999999999997</v>
      </c>
      <c r="G58">
        <v>13.5</v>
      </c>
      <c r="H58">
        <v>8.4</v>
      </c>
      <c r="I58">
        <v>3.21</v>
      </c>
      <c r="J58">
        <v>2.52</v>
      </c>
      <c r="K58">
        <v>3.76</v>
      </c>
      <c r="L58">
        <v>6.45</v>
      </c>
      <c r="M58">
        <v>6.23</v>
      </c>
      <c r="N58" s="9">
        <f t="shared" si="0"/>
        <v>10896.892561983472</v>
      </c>
    </row>
    <row r="59" spans="1:14">
      <c r="A59" s="2">
        <f t="shared" si="1"/>
        <v>2010</v>
      </c>
      <c r="B59">
        <v>12.5</v>
      </c>
      <c r="C59">
        <v>11.2</v>
      </c>
      <c r="D59">
        <v>36.9</v>
      </c>
      <c r="E59">
        <v>33.299999999999997</v>
      </c>
      <c r="F59">
        <v>38.1</v>
      </c>
      <c r="G59">
        <v>231.6</v>
      </c>
      <c r="H59">
        <v>59.8</v>
      </c>
      <c r="I59">
        <v>16.2</v>
      </c>
      <c r="J59">
        <v>7.67</v>
      </c>
      <c r="K59">
        <v>7.76</v>
      </c>
      <c r="L59">
        <v>12.9</v>
      </c>
      <c r="M59">
        <v>13.5</v>
      </c>
      <c r="N59" s="9">
        <f t="shared" si="0"/>
        <v>28974.664462809917</v>
      </c>
    </row>
    <row r="60" spans="1:14">
      <c r="A60" s="2">
        <f t="shared" si="1"/>
        <v>2011</v>
      </c>
      <c r="B60">
        <v>15.8</v>
      </c>
      <c r="C60">
        <v>30.2</v>
      </c>
      <c r="D60">
        <v>20.9</v>
      </c>
      <c r="E60">
        <v>29.7</v>
      </c>
      <c r="F60">
        <v>469.9</v>
      </c>
      <c r="G60">
        <v>253</v>
      </c>
      <c r="H60">
        <v>35.9</v>
      </c>
      <c r="I60">
        <v>20.2</v>
      </c>
      <c r="J60">
        <v>8.19</v>
      </c>
      <c r="K60">
        <v>8.44</v>
      </c>
      <c r="L60">
        <v>14.3</v>
      </c>
      <c r="M60">
        <v>15.6</v>
      </c>
      <c r="N60" s="9">
        <f t="shared" si="0"/>
        <v>55929.500826446281</v>
      </c>
    </row>
    <row r="61" spans="1:14">
      <c r="A61" s="2">
        <f t="shared" si="1"/>
        <v>2012</v>
      </c>
      <c r="B61">
        <v>16.7</v>
      </c>
      <c r="C61">
        <v>19.899999999999999</v>
      </c>
      <c r="D61">
        <v>19.399999999999999</v>
      </c>
      <c r="E61">
        <v>26.6</v>
      </c>
      <c r="F61">
        <v>10.8</v>
      </c>
      <c r="G61">
        <v>7.39</v>
      </c>
      <c r="H61">
        <v>2.08</v>
      </c>
      <c r="I61">
        <v>1.36</v>
      </c>
      <c r="J61">
        <v>0.76400000000000001</v>
      </c>
      <c r="K61">
        <v>1.65</v>
      </c>
      <c r="L61">
        <v>2.37</v>
      </c>
      <c r="M61">
        <v>2.57</v>
      </c>
      <c r="N61" s="9">
        <f t="shared" si="0"/>
        <v>6678.8528925619839</v>
      </c>
    </row>
    <row r="62" spans="1:14">
      <c r="A62" s="2">
        <f t="shared" si="1"/>
        <v>2013</v>
      </c>
      <c r="B62">
        <v>3.02</v>
      </c>
      <c r="C62">
        <v>3.9</v>
      </c>
      <c r="D62">
        <v>5.03</v>
      </c>
      <c r="E62">
        <v>5.24</v>
      </c>
      <c r="F62">
        <v>7.02</v>
      </c>
      <c r="G62">
        <v>6.78</v>
      </c>
      <c r="H62">
        <v>0.60699999999999998</v>
      </c>
      <c r="I62">
        <v>3.64</v>
      </c>
      <c r="J62">
        <v>1.01</v>
      </c>
      <c r="K62">
        <v>0.121</v>
      </c>
      <c r="L62">
        <v>0.38400000000000001</v>
      </c>
      <c r="M62">
        <v>0.19800000000000001</v>
      </c>
      <c r="N62" s="9">
        <f t="shared" si="0"/>
        <v>2224.0879338842974</v>
      </c>
    </row>
    <row r="63" spans="1:14">
      <c r="A63" s="2">
        <f t="shared" si="1"/>
        <v>2014</v>
      </c>
      <c r="B63">
        <v>0.42599999999999999</v>
      </c>
      <c r="C63">
        <v>1.1399999999999999</v>
      </c>
      <c r="D63">
        <v>1.75</v>
      </c>
      <c r="E63">
        <v>1.75</v>
      </c>
      <c r="F63">
        <v>3.24</v>
      </c>
      <c r="G63">
        <v>38.700000000000003</v>
      </c>
      <c r="H63">
        <v>1.38</v>
      </c>
      <c r="I63">
        <v>41.1</v>
      </c>
      <c r="J63">
        <v>4.0999999999999996</v>
      </c>
      <c r="K63">
        <v>1.06</v>
      </c>
      <c r="L63">
        <v>0.47399999999999998</v>
      </c>
      <c r="M63">
        <v>0.97499999999999998</v>
      </c>
      <c r="N63" s="9">
        <f t="shared" si="0"/>
        <v>5813.1292561983473</v>
      </c>
    </row>
    <row r="64" spans="1:14">
      <c r="A64" s="2">
        <f t="shared" si="1"/>
        <v>2015</v>
      </c>
      <c r="B64">
        <v>0.67500000000000004</v>
      </c>
      <c r="C64">
        <v>1.75</v>
      </c>
      <c r="D64">
        <v>3.59</v>
      </c>
      <c r="E64">
        <v>4.3600000000000003</v>
      </c>
      <c r="F64">
        <v>137.80000000000001</v>
      </c>
      <c r="G64">
        <v>42.5</v>
      </c>
      <c r="H64">
        <v>10.8</v>
      </c>
      <c r="I64">
        <v>20.100000000000001</v>
      </c>
      <c r="J64">
        <v>9.48</v>
      </c>
      <c r="K64">
        <v>1.97</v>
      </c>
      <c r="L64">
        <v>3.54</v>
      </c>
      <c r="M64">
        <v>11</v>
      </c>
      <c r="N64" s="9">
        <f t="shared" si="0"/>
        <v>15093.862809917357</v>
      </c>
    </row>
    <row r="65" spans="1:14">
      <c r="A65" s="2">
        <f t="shared" si="1"/>
        <v>2016</v>
      </c>
      <c r="B65">
        <v>6.36</v>
      </c>
      <c r="C65">
        <v>9.16</v>
      </c>
      <c r="D65">
        <v>7.85</v>
      </c>
      <c r="E65">
        <v>26.3</v>
      </c>
      <c r="F65">
        <v>26</v>
      </c>
      <c r="G65">
        <v>12</v>
      </c>
      <c r="H65">
        <v>10.6</v>
      </c>
      <c r="I65">
        <v>18.2</v>
      </c>
      <c r="J65">
        <v>27</v>
      </c>
      <c r="K65">
        <v>7.56</v>
      </c>
      <c r="L65">
        <v>9.36</v>
      </c>
      <c r="M65">
        <v>10.199999999999999</v>
      </c>
      <c r="N65" s="9">
        <f t="shared" si="0"/>
        <v>10291.120661157025</v>
      </c>
    </row>
    <row r="66" spans="1:14">
      <c r="A66" s="2">
        <f t="shared" si="1"/>
        <v>2017</v>
      </c>
      <c r="B66">
        <v>43.1</v>
      </c>
      <c r="C66">
        <v>15.9</v>
      </c>
      <c r="D66">
        <v>14.8</v>
      </c>
      <c r="E66">
        <v>21.5</v>
      </c>
      <c r="F66">
        <v>146</v>
      </c>
      <c r="G66">
        <v>21.1</v>
      </c>
      <c r="H66">
        <v>12.5</v>
      </c>
      <c r="I66">
        <v>5.57</v>
      </c>
      <c r="J66">
        <v>4.79</v>
      </c>
      <c r="K66">
        <v>7.02</v>
      </c>
      <c r="L66">
        <v>5.45</v>
      </c>
      <c r="M66">
        <v>5.94</v>
      </c>
      <c r="N66" s="9">
        <f t="shared" si="0"/>
        <v>18480.406611570252</v>
      </c>
    </row>
    <row r="67" spans="1:14">
      <c r="A67" s="2">
        <f>A66+1</f>
        <v>2018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</row>
    <row r="68" spans="1:14">
      <c r="A68" s="58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</row>
    <row r="69" spans="1:14">
      <c r="A69" s="1" t="s">
        <v>19</v>
      </c>
      <c r="B69" s="94">
        <v>11.9</v>
      </c>
      <c r="C69" s="94">
        <v>21.7</v>
      </c>
      <c r="D69" s="94">
        <v>37</v>
      </c>
      <c r="E69" s="94">
        <v>29.6</v>
      </c>
      <c r="F69" s="94">
        <v>42.5</v>
      </c>
      <c r="G69" s="94">
        <v>47.9</v>
      </c>
      <c r="H69" s="94">
        <v>48.4</v>
      </c>
      <c r="I69" s="94">
        <v>19.8</v>
      </c>
      <c r="J69" s="94">
        <v>30.9</v>
      </c>
      <c r="K69" s="94">
        <v>16.8</v>
      </c>
      <c r="L69" s="94">
        <v>11</v>
      </c>
      <c r="M69" s="94">
        <v>7.92</v>
      </c>
    </row>
    <row r="70" spans="1:14">
      <c r="A70" s="4" t="s">
        <v>20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1:14" ht="25.35">
      <c r="A71" s="5" t="s">
        <v>21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</sheetData>
  <mergeCells count="14">
    <mergeCell ref="L69:L71"/>
    <mergeCell ref="M69:M71"/>
    <mergeCell ref="A4:A5"/>
    <mergeCell ref="B4:M4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</mergeCells>
  <phoneticPr fontId="1" type="noConversion"/>
  <hyperlinks>
    <hyperlink ref="P4" r:id="rId1" display="https://waterdata.usgs.gov/ks/nwis/monthly?referred_module=sw&amp;amp;site_no=06853800&amp;amp;por_06853800_54716=92218,00060,54716,1957-10,2018-04&amp;amp;start_dt=2000-01&amp;amp;end_dt=2017-12&amp;amp;partial_periods=on&amp;amp;format=html_table&amp;amp;date_format=YYYY-MM-DD&amp;amp;rdb_compression=file&amp;amp;submitted_form=parameter_selection_list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29" workbookViewId="0">
      <selection activeCell="N7" sqref="N7:N61"/>
    </sheetView>
  </sheetViews>
  <sheetFormatPr defaultRowHeight="12.7"/>
  <sheetData>
    <row r="1" spans="1:16">
      <c r="A1" s="10" t="s">
        <v>150</v>
      </c>
      <c r="B1">
        <v>31</v>
      </c>
      <c r="C1">
        <v>28.25</v>
      </c>
      <c r="D1">
        <v>31</v>
      </c>
      <c r="E1">
        <v>30</v>
      </c>
      <c r="F1">
        <v>31</v>
      </c>
      <c r="G1">
        <v>30</v>
      </c>
      <c r="H1">
        <v>31</v>
      </c>
      <c r="I1">
        <v>31</v>
      </c>
      <c r="J1">
        <v>30</v>
      </c>
      <c r="K1">
        <v>31</v>
      </c>
      <c r="L1">
        <v>30</v>
      </c>
      <c r="M1">
        <v>31</v>
      </c>
      <c r="O1">
        <f>24*3600</f>
        <v>86400</v>
      </c>
      <c r="P1" s="10" t="s">
        <v>40</v>
      </c>
    </row>
    <row r="2" spans="1:16">
      <c r="A2" t="s">
        <v>23</v>
      </c>
      <c r="N2" t="s">
        <v>24</v>
      </c>
      <c r="O2">
        <f>5280^2/640</f>
        <v>43560</v>
      </c>
      <c r="P2" s="10" t="s">
        <v>151</v>
      </c>
    </row>
    <row r="3" spans="1:16" ht="14.7">
      <c r="A3" s="97" t="s">
        <v>5</v>
      </c>
      <c r="B3" s="99" t="s">
        <v>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  <c r="N3" t="s">
        <v>2</v>
      </c>
      <c r="O3">
        <f>O1/O2</f>
        <v>1.9834710743801653</v>
      </c>
      <c r="P3" s="10" t="s">
        <v>44</v>
      </c>
    </row>
    <row r="4" spans="1:16">
      <c r="A4" s="98"/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64" t="s">
        <v>152</v>
      </c>
    </row>
    <row r="5" spans="1:16">
      <c r="A5" s="2">
        <v>1946</v>
      </c>
      <c r="B5" s="3"/>
      <c r="C5" s="3"/>
      <c r="D5" s="3"/>
      <c r="E5" s="3"/>
      <c r="F5" s="3">
        <v>5.37</v>
      </c>
      <c r="G5" s="3">
        <v>41.9</v>
      </c>
      <c r="H5" s="3">
        <v>97</v>
      </c>
      <c r="I5" s="3">
        <v>0.55000000000000004</v>
      </c>
      <c r="J5" s="3">
        <v>246</v>
      </c>
      <c r="K5" s="3">
        <v>39.200000000000003</v>
      </c>
      <c r="L5" s="3">
        <v>76</v>
      </c>
      <c r="M5" s="3">
        <v>6.98</v>
      </c>
    </row>
    <row r="6" spans="1:16">
      <c r="A6" s="2">
        <v>1947</v>
      </c>
      <c r="B6" s="3">
        <v>5.03</v>
      </c>
      <c r="C6" s="3">
        <v>9.42</v>
      </c>
      <c r="D6" s="3">
        <v>15.6</v>
      </c>
      <c r="E6" s="3">
        <v>169</v>
      </c>
      <c r="F6" s="3">
        <v>27.7</v>
      </c>
      <c r="G6" s="3">
        <v>444</v>
      </c>
      <c r="H6" s="3">
        <v>24.1</v>
      </c>
      <c r="I6" s="3">
        <v>6.17</v>
      </c>
      <c r="J6" s="3">
        <v>1.82</v>
      </c>
      <c r="K6" s="3">
        <v>2.9</v>
      </c>
      <c r="L6" s="3">
        <v>3.48</v>
      </c>
      <c r="M6" s="3">
        <v>4.03</v>
      </c>
      <c r="N6" s="9">
        <f>$O$3*SUMPRODUCT($B$1:$M$1,$B6:$M6)</f>
        <v>42578.271074380173</v>
      </c>
    </row>
    <row r="7" spans="1:16">
      <c r="A7" s="2">
        <v>1948</v>
      </c>
      <c r="B7" s="3">
        <v>3.77</v>
      </c>
      <c r="C7" s="3">
        <v>71.099999999999994</v>
      </c>
      <c r="D7" s="3">
        <v>113</v>
      </c>
      <c r="E7" s="3">
        <v>5.82</v>
      </c>
      <c r="F7" s="3">
        <v>6.72</v>
      </c>
      <c r="G7" s="3">
        <v>25.5</v>
      </c>
      <c r="H7" s="3">
        <v>66</v>
      </c>
      <c r="I7" s="3">
        <v>15.3</v>
      </c>
      <c r="J7" s="3">
        <v>0.21</v>
      </c>
      <c r="K7" s="3">
        <v>0</v>
      </c>
      <c r="L7" s="3">
        <v>0.9</v>
      </c>
      <c r="M7" s="3">
        <v>0.69</v>
      </c>
      <c r="N7" s="9">
        <f t="shared" ref="N7:N61" si="0">$O$3*SUMPRODUCT($B$1:$M$1,$B7:$M7)</f>
        <v>18548.142148760326</v>
      </c>
    </row>
    <row r="8" spans="1:16">
      <c r="A8" s="2">
        <v>1949</v>
      </c>
      <c r="B8" s="3">
        <v>15.3</v>
      </c>
      <c r="C8" s="3">
        <v>282</v>
      </c>
      <c r="D8" s="3">
        <v>83.4</v>
      </c>
      <c r="E8" s="3">
        <v>6.83</v>
      </c>
      <c r="F8" s="3">
        <v>193</v>
      </c>
      <c r="G8" s="3">
        <v>368</v>
      </c>
      <c r="H8" s="3">
        <v>17.7</v>
      </c>
      <c r="I8" s="3">
        <v>4.51</v>
      </c>
      <c r="J8" s="3">
        <v>36.6</v>
      </c>
      <c r="K8" s="3">
        <v>127</v>
      </c>
      <c r="L8" s="3">
        <v>3.9</v>
      </c>
      <c r="M8" s="3">
        <v>4.7</v>
      </c>
      <c r="N8" s="9">
        <f t="shared" si="0"/>
        <v>67914.664462809917</v>
      </c>
    </row>
    <row r="9" spans="1:16">
      <c r="A9" s="2">
        <v>1950</v>
      </c>
      <c r="B9" s="3">
        <v>3.52</v>
      </c>
      <c r="C9" s="3">
        <v>3.75</v>
      </c>
      <c r="D9" s="3">
        <v>5.42</v>
      </c>
      <c r="E9" s="3">
        <v>3.05</v>
      </c>
      <c r="F9" s="3">
        <v>125</v>
      </c>
      <c r="G9" s="3">
        <v>6.77</v>
      </c>
      <c r="H9" s="3">
        <v>925</v>
      </c>
      <c r="I9" s="3">
        <v>198</v>
      </c>
      <c r="J9" s="3">
        <v>151</v>
      </c>
      <c r="K9" s="3">
        <v>182</v>
      </c>
      <c r="L9" s="3">
        <v>12.9</v>
      </c>
      <c r="M9" s="3">
        <v>9.68</v>
      </c>
      <c r="N9" s="9">
        <f t="shared" si="0"/>
        <v>99619.353719008272</v>
      </c>
    </row>
    <row r="10" spans="1:16">
      <c r="A10" s="2">
        <v>1951</v>
      </c>
      <c r="B10" s="3">
        <v>8.61</v>
      </c>
      <c r="C10" s="3">
        <v>23.4</v>
      </c>
      <c r="D10" s="3">
        <v>51.6</v>
      </c>
      <c r="E10" s="3">
        <v>78.400000000000006</v>
      </c>
      <c r="F10" s="3">
        <v>139</v>
      </c>
      <c r="G10" s="3">
        <v>856</v>
      </c>
      <c r="H10" s="3">
        <v>610</v>
      </c>
      <c r="I10" s="3">
        <v>154</v>
      </c>
      <c r="J10" s="3">
        <v>165</v>
      </c>
      <c r="K10" s="3">
        <v>50.9</v>
      </c>
      <c r="L10" s="3">
        <v>27.5</v>
      </c>
      <c r="M10" s="3">
        <v>24.2</v>
      </c>
      <c r="N10" s="9">
        <f t="shared" si="0"/>
        <v>132209.57355371898</v>
      </c>
    </row>
    <row r="11" spans="1:16">
      <c r="A11" s="2">
        <v>1952</v>
      </c>
      <c r="B11" s="3">
        <v>22.6</v>
      </c>
      <c r="C11" s="3">
        <v>22.3</v>
      </c>
      <c r="D11" s="3">
        <v>57.4</v>
      </c>
      <c r="E11" s="3">
        <v>108</v>
      </c>
      <c r="F11" s="3">
        <v>95.3</v>
      </c>
      <c r="G11" s="3">
        <v>65.7</v>
      </c>
      <c r="H11" s="3">
        <v>23.5</v>
      </c>
      <c r="I11" s="3">
        <v>6.1</v>
      </c>
      <c r="J11" s="3">
        <v>4.62</v>
      </c>
      <c r="K11" s="3">
        <v>4.67</v>
      </c>
      <c r="L11" s="3">
        <v>8.77</v>
      </c>
      <c r="M11" s="3">
        <v>8.24</v>
      </c>
      <c r="N11" s="9">
        <f t="shared" si="0"/>
        <v>25774.780165289259</v>
      </c>
    </row>
    <row r="12" spans="1:16">
      <c r="A12" s="2">
        <v>1953</v>
      </c>
      <c r="B12" s="3">
        <v>9.76</v>
      </c>
      <c r="C12" s="3">
        <v>9.91</v>
      </c>
      <c r="D12" s="3">
        <v>8.11</v>
      </c>
      <c r="E12" s="3">
        <v>8</v>
      </c>
      <c r="F12" s="3">
        <v>29.6</v>
      </c>
      <c r="G12" s="3">
        <v>74.5</v>
      </c>
      <c r="H12" s="3">
        <v>0.14000000000000001</v>
      </c>
      <c r="I12" s="3">
        <v>2.1</v>
      </c>
      <c r="J12" s="3">
        <v>72.900000000000006</v>
      </c>
      <c r="K12" s="3">
        <v>13.5</v>
      </c>
      <c r="L12" s="3">
        <v>8.5299999999999994</v>
      </c>
      <c r="M12" s="3">
        <v>24.5</v>
      </c>
      <c r="N12" s="9">
        <f t="shared" si="0"/>
        <v>15702.877685950414</v>
      </c>
    </row>
    <row r="13" spans="1:16">
      <c r="A13" s="2">
        <v>1954</v>
      </c>
      <c r="B13" s="3">
        <v>1.1200000000000001</v>
      </c>
      <c r="C13" s="3">
        <v>4.0999999999999996</v>
      </c>
      <c r="D13" s="3">
        <v>2.5</v>
      </c>
      <c r="E13" s="3">
        <v>3.68</v>
      </c>
      <c r="F13" s="3">
        <v>194</v>
      </c>
      <c r="G13" s="3">
        <v>82.5</v>
      </c>
      <c r="H13" s="3">
        <v>1.69</v>
      </c>
      <c r="I13" s="3">
        <v>22.9</v>
      </c>
      <c r="J13" s="3">
        <v>8.34</v>
      </c>
      <c r="K13" s="3">
        <v>25.6</v>
      </c>
      <c r="L13" s="3">
        <v>0.56000000000000005</v>
      </c>
      <c r="M13" s="3">
        <v>1.26</v>
      </c>
      <c r="N13" s="9">
        <f t="shared" si="0"/>
        <v>21202.105785123964</v>
      </c>
    </row>
    <row r="14" spans="1:16">
      <c r="A14" s="2">
        <v>1955</v>
      </c>
      <c r="B14" s="3">
        <v>1.36</v>
      </c>
      <c r="C14" s="3">
        <v>79.7</v>
      </c>
      <c r="D14" s="3">
        <v>3.75</v>
      </c>
      <c r="E14" s="3">
        <v>1.2</v>
      </c>
      <c r="F14" s="3">
        <v>1.43</v>
      </c>
      <c r="G14" s="3">
        <v>307</v>
      </c>
      <c r="H14" s="3">
        <v>11.9</v>
      </c>
      <c r="I14" s="3">
        <v>0.15</v>
      </c>
      <c r="J14" s="3">
        <v>45.5</v>
      </c>
      <c r="K14" s="3">
        <v>0.7</v>
      </c>
      <c r="L14" s="3">
        <v>0</v>
      </c>
      <c r="M14" s="3">
        <v>0</v>
      </c>
      <c r="N14" s="9">
        <f t="shared" si="0"/>
        <v>26698.542148760331</v>
      </c>
    </row>
    <row r="15" spans="1:16">
      <c r="A15" s="2">
        <v>1956</v>
      </c>
      <c r="B15" s="3">
        <v>0</v>
      </c>
      <c r="C15" s="3">
        <v>8.19</v>
      </c>
      <c r="D15" s="3">
        <v>0.28000000000000003</v>
      </c>
      <c r="E15" s="3">
        <v>1.78</v>
      </c>
      <c r="F15" s="3">
        <v>1.61</v>
      </c>
      <c r="G15" s="3">
        <v>325</v>
      </c>
      <c r="H15" s="3">
        <v>219</v>
      </c>
      <c r="I15" s="3">
        <v>5.53</v>
      </c>
      <c r="J15" s="3">
        <v>1.51</v>
      </c>
      <c r="K15" s="3">
        <v>0.16</v>
      </c>
      <c r="L15" s="3">
        <v>0.31</v>
      </c>
      <c r="M15" s="3">
        <v>6.0000000000000001E-3</v>
      </c>
      <c r="N15" s="9">
        <f t="shared" si="0"/>
        <v>33944.198677685948</v>
      </c>
    </row>
    <row r="16" spans="1:16">
      <c r="A16" s="2">
        <v>1957</v>
      </c>
      <c r="B16" s="3">
        <v>0</v>
      </c>
      <c r="C16" s="3">
        <v>0</v>
      </c>
      <c r="D16" s="3">
        <v>3.31</v>
      </c>
      <c r="E16" s="3">
        <v>23.1</v>
      </c>
      <c r="F16" s="3">
        <v>142</v>
      </c>
      <c r="G16" s="3">
        <v>297</v>
      </c>
      <c r="H16" s="3">
        <v>118</v>
      </c>
      <c r="I16" s="3">
        <v>19.8</v>
      </c>
      <c r="J16" s="3">
        <v>14.9</v>
      </c>
      <c r="K16" s="3">
        <v>0</v>
      </c>
      <c r="L16" s="3">
        <v>0</v>
      </c>
      <c r="M16" s="3">
        <v>0</v>
      </c>
      <c r="N16" s="9">
        <f t="shared" si="0"/>
        <v>37341.639669421485</v>
      </c>
    </row>
    <row r="17" spans="1:14">
      <c r="A17" s="2">
        <v>1958</v>
      </c>
      <c r="B17" s="3">
        <v>0</v>
      </c>
      <c r="C17" s="3">
        <v>0.1</v>
      </c>
      <c r="D17" s="3">
        <v>0.74</v>
      </c>
      <c r="E17" s="3">
        <v>0.66</v>
      </c>
      <c r="F17" s="3">
        <v>0.53</v>
      </c>
      <c r="G17" s="3">
        <v>0.72</v>
      </c>
      <c r="H17" s="3">
        <v>3.6</v>
      </c>
      <c r="I17" s="3">
        <v>2.59</v>
      </c>
      <c r="J17" s="3">
        <v>205</v>
      </c>
      <c r="K17" s="3">
        <v>1.9</v>
      </c>
      <c r="L17" s="3">
        <v>0.09</v>
      </c>
      <c r="M17" s="3">
        <v>0.46</v>
      </c>
      <c r="N17" s="9">
        <f t="shared" si="0"/>
        <v>12895.229752066114</v>
      </c>
    </row>
    <row r="18" spans="1:14">
      <c r="A18" s="2">
        <v>1959</v>
      </c>
      <c r="B18" s="3">
        <v>0.1</v>
      </c>
      <c r="C18" s="3">
        <v>5.1100000000000003</v>
      </c>
      <c r="D18" s="3">
        <v>1.52</v>
      </c>
      <c r="E18" s="3">
        <v>1.25</v>
      </c>
      <c r="F18" s="3">
        <v>152</v>
      </c>
      <c r="G18" s="3">
        <v>55.9</v>
      </c>
      <c r="H18" s="3">
        <v>0.43</v>
      </c>
      <c r="I18" s="3">
        <v>0.15</v>
      </c>
      <c r="J18" s="3">
        <v>0.36</v>
      </c>
      <c r="K18" s="3">
        <v>2.09</v>
      </c>
      <c r="L18" s="3">
        <v>0.1</v>
      </c>
      <c r="M18" s="3">
        <v>0.12</v>
      </c>
      <c r="N18" s="9">
        <f t="shared" si="0"/>
        <v>13331.638016528927</v>
      </c>
    </row>
    <row r="19" spans="1:14">
      <c r="A19" s="2">
        <v>1960</v>
      </c>
      <c r="B19" s="3">
        <v>0.09</v>
      </c>
      <c r="C19" s="3">
        <v>28.8</v>
      </c>
      <c r="D19" s="3">
        <v>29.5</v>
      </c>
      <c r="E19" s="3">
        <v>155</v>
      </c>
      <c r="F19" s="3">
        <v>56.8</v>
      </c>
      <c r="G19" s="3">
        <v>81.599999999999994</v>
      </c>
      <c r="H19" s="3">
        <v>101</v>
      </c>
      <c r="I19" s="3">
        <v>26.8</v>
      </c>
      <c r="J19" s="3">
        <v>45.8</v>
      </c>
      <c r="K19" s="3">
        <v>0.13</v>
      </c>
      <c r="L19" s="3">
        <v>0.17</v>
      </c>
      <c r="M19" s="3">
        <v>0.12</v>
      </c>
      <c r="N19" s="9">
        <f t="shared" si="0"/>
        <v>31613.236363636363</v>
      </c>
    </row>
    <row r="20" spans="1:14">
      <c r="A20" s="2">
        <v>1961</v>
      </c>
      <c r="B20" s="3">
        <v>0.12</v>
      </c>
      <c r="C20" s="3">
        <v>0.14000000000000001</v>
      </c>
      <c r="D20" s="3">
        <v>0.19</v>
      </c>
      <c r="E20" s="3">
        <v>0.17</v>
      </c>
      <c r="F20" s="3">
        <v>0.42</v>
      </c>
      <c r="G20" s="3">
        <v>369</v>
      </c>
      <c r="H20" s="3">
        <v>6.07</v>
      </c>
      <c r="I20" s="3">
        <v>4.3499999999999996</v>
      </c>
      <c r="J20" s="3">
        <v>2.4700000000000002</v>
      </c>
      <c r="K20" s="3">
        <v>57.4</v>
      </c>
      <c r="L20" s="3">
        <v>15.2</v>
      </c>
      <c r="M20" s="3">
        <v>17</v>
      </c>
      <c r="N20" s="9">
        <f t="shared" si="0"/>
        <v>28286.687603305785</v>
      </c>
    </row>
    <row r="21" spans="1:14">
      <c r="A21" s="2">
        <v>1962</v>
      </c>
      <c r="B21" s="3">
        <v>20.8</v>
      </c>
      <c r="C21" s="3">
        <v>162</v>
      </c>
      <c r="D21" s="3">
        <v>49.8</v>
      </c>
      <c r="E21" s="3">
        <v>12.9</v>
      </c>
      <c r="F21" s="3">
        <v>28</v>
      </c>
      <c r="G21" s="3">
        <v>233</v>
      </c>
      <c r="H21" s="3">
        <v>66.599999999999994</v>
      </c>
      <c r="I21" s="3">
        <v>6.91</v>
      </c>
      <c r="J21" s="3">
        <v>24.9</v>
      </c>
      <c r="K21" s="3">
        <v>109</v>
      </c>
      <c r="L21" s="3">
        <v>10.4</v>
      </c>
      <c r="M21" s="3">
        <v>25.2</v>
      </c>
      <c r="N21" s="9">
        <f t="shared" si="0"/>
        <v>44644.185123966941</v>
      </c>
    </row>
    <row r="22" spans="1:14">
      <c r="A22" s="2">
        <v>1963</v>
      </c>
      <c r="B22" s="3">
        <v>21.2</v>
      </c>
      <c r="C22" s="3">
        <v>23.6</v>
      </c>
      <c r="D22" s="3">
        <v>27.5</v>
      </c>
      <c r="E22" s="3">
        <v>3.61</v>
      </c>
      <c r="F22" s="3">
        <v>0.39</v>
      </c>
      <c r="G22" s="3">
        <v>0.92</v>
      </c>
      <c r="H22" s="3">
        <v>0.56999999999999995</v>
      </c>
      <c r="I22" s="3">
        <v>0.5</v>
      </c>
      <c r="J22" s="3">
        <v>138</v>
      </c>
      <c r="K22" s="3">
        <v>32</v>
      </c>
      <c r="L22" s="3">
        <v>0.19</v>
      </c>
      <c r="M22" s="3">
        <v>0.21</v>
      </c>
      <c r="N22" s="9">
        <f t="shared" si="0"/>
        <v>14879.543801652893</v>
      </c>
    </row>
    <row r="23" spans="1:14">
      <c r="A23" s="2">
        <v>1964</v>
      </c>
      <c r="B23" s="3">
        <v>0.1</v>
      </c>
      <c r="C23" s="3">
        <v>0.31</v>
      </c>
      <c r="D23" s="3">
        <v>10.4</v>
      </c>
      <c r="E23" s="3">
        <v>0.19</v>
      </c>
      <c r="F23" s="3">
        <v>73.900000000000006</v>
      </c>
      <c r="G23" s="3">
        <v>0.32</v>
      </c>
      <c r="H23" s="3">
        <v>0.51</v>
      </c>
      <c r="I23" s="3">
        <v>0.3</v>
      </c>
      <c r="J23" s="3">
        <v>142</v>
      </c>
      <c r="K23" s="3">
        <v>1.54</v>
      </c>
      <c r="L23" s="3">
        <v>0.27</v>
      </c>
      <c r="M23" s="3">
        <v>0.13</v>
      </c>
      <c r="N23" s="9">
        <f t="shared" si="0"/>
        <v>13855.413223140496</v>
      </c>
    </row>
    <row r="24" spans="1:14">
      <c r="A24" s="2">
        <v>1965</v>
      </c>
      <c r="B24" s="3">
        <v>0.18</v>
      </c>
      <c r="C24" s="3">
        <v>0.21</v>
      </c>
      <c r="D24" s="3">
        <v>137</v>
      </c>
      <c r="E24" s="3">
        <v>57.5</v>
      </c>
      <c r="F24" s="3">
        <v>0.17</v>
      </c>
      <c r="G24" s="3">
        <v>300</v>
      </c>
      <c r="H24" s="3">
        <v>70.2</v>
      </c>
      <c r="I24" s="3">
        <v>0.37</v>
      </c>
      <c r="J24" s="3">
        <v>57.5</v>
      </c>
      <c r="K24" s="3">
        <v>103</v>
      </c>
      <c r="L24" s="3">
        <v>24.9</v>
      </c>
      <c r="M24" s="3">
        <v>0.27</v>
      </c>
      <c r="N24" s="9">
        <f t="shared" si="0"/>
        <v>45321.961983471083</v>
      </c>
    </row>
    <row r="25" spans="1:14">
      <c r="A25" s="2">
        <v>1966</v>
      </c>
      <c r="B25" s="3">
        <v>0.24</v>
      </c>
      <c r="C25" s="3">
        <v>34.9</v>
      </c>
      <c r="D25" s="3">
        <v>4.07</v>
      </c>
      <c r="E25" s="3">
        <v>0.67</v>
      </c>
      <c r="F25" s="3">
        <v>2.0499999999999998</v>
      </c>
      <c r="G25" s="3">
        <v>21.9</v>
      </c>
      <c r="H25" s="3">
        <v>0.72</v>
      </c>
      <c r="I25" s="3">
        <v>89.5</v>
      </c>
      <c r="J25" s="3">
        <v>0.4</v>
      </c>
      <c r="K25" s="3">
        <v>0.28999999999999998</v>
      </c>
      <c r="L25" s="3">
        <v>0.55000000000000004</v>
      </c>
      <c r="M25" s="3">
        <v>1.9E-2</v>
      </c>
      <c r="N25" s="9">
        <f t="shared" si="0"/>
        <v>9312.5633057851246</v>
      </c>
    </row>
    <row r="26" spans="1:14">
      <c r="A26" s="2">
        <v>1967</v>
      </c>
      <c r="B26" s="3">
        <v>0.1</v>
      </c>
      <c r="C26" s="3">
        <v>8.7999999999999995E-2</v>
      </c>
      <c r="D26" s="3">
        <v>0.28999999999999998</v>
      </c>
      <c r="E26" s="3">
        <v>0.53</v>
      </c>
      <c r="F26" s="3">
        <v>0.9</v>
      </c>
      <c r="G26" s="3">
        <v>273</v>
      </c>
      <c r="H26" s="3">
        <v>10.3</v>
      </c>
      <c r="I26" s="3">
        <v>0.37</v>
      </c>
      <c r="J26" s="3">
        <v>55.8</v>
      </c>
      <c r="K26" s="3">
        <v>0.22</v>
      </c>
      <c r="L26" s="3">
        <v>0.48</v>
      </c>
      <c r="M26" s="3">
        <v>0.3</v>
      </c>
      <c r="N26" s="9">
        <f t="shared" si="0"/>
        <v>20397.354049586771</v>
      </c>
    </row>
    <row r="27" spans="1:14">
      <c r="A27" s="2">
        <v>1968</v>
      </c>
      <c r="B27" s="3">
        <v>0.15</v>
      </c>
      <c r="C27" s="3">
        <v>0.22</v>
      </c>
      <c r="D27" s="3">
        <v>0.22</v>
      </c>
      <c r="E27" s="3">
        <v>0.28000000000000003</v>
      </c>
      <c r="F27" s="3">
        <v>0.3</v>
      </c>
      <c r="G27" s="3">
        <v>25.7</v>
      </c>
      <c r="H27" s="3">
        <v>0.75</v>
      </c>
      <c r="I27" s="3">
        <v>1.85</v>
      </c>
      <c r="J27" s="3">
        <v>339</v>
      </c>
      <c r="K27" s="3">
        <v>24.8</v>
      </c>
      <c r="L27" s="3">
        <v>40.299999999999997</v>
      </c>
      <c r="M27" s="3">
        <v>0.19</v>
      </c>
      <c r="N27" s="9">
        <f t="shared" si="0"/>
        <v>25865.801652892562</v>
      </c>
    </row>
    <row r="28" spans="1:14">
      <c r="A28" s="2">
        <v>1969</v>
      </c>
      <c r="B28" s="3">
        <v>0.15</v>
      </c>
      <c r="C28" s="3">
        <v>2.41</v>
      </c>
      <c r="D28" s="3">
        <v>0.69</v>
      </c>
      <c r="E28" s="3">
        <v>0.45</v>
      </c>
      <c r="F28" s="3">
        <v>76.900000000000006</v>
      </c>
      <c r="G28" s="3">
        <v>64.599999999999994</v>
      </c>
      <c r="H28" s="3">
        <v>86.3</v>
      </c>
      <c r="I28" s="3">
        <v>0.18</v>
      </c>
      <c r="J28" s="3">
        <v>136</v>
      </c>
      <c r="K28" s="3">
        <v>103</v>
      </c>
      <c r="L28" s="3">
        <v>5.27</v>
      </c>
      <c r="M28" s="3">
        <v>0.1</v>
      </c>
      <c r="N28" s="9">
        <f t="shared" si="0"/>
        <v>28848.79834710744</v>
      </c>
    </row>
    <row r="29" spans="1:14">
      <c r="A29" s="2">
        <v>1970</v>
      </c>
      <c r="B29" s="3">
        <v>8.3000000000000004E-2</v>
      </c>
      <c r="C29" s="3">
        <v>0.11</v>
      </c>
      <c r="D29" s="3">
        <v>0.15</v>
      </c>
      <c r="E29" s="3">
        <v>25.3</v>
      </c>
      <c r="F29" s="3">
        <v>0.18</v>
      </c>
      <c r="G29" s="3">
        <v>7.77</v>
      </c>
      <c r="H29" s="3">
        <v>1.29</v>
      </c>
      <c r="I29" s="3">
        <v>0.16</v>
      </c>
      <c r="J29" s="3">
        <v>0.28999999999999998</v>
      </c>
      <c r="K29" s="3">
        <v>0.14000000000000001</v>
      </c>
      <c r="L29" s="3">
        <v>0.1</v>
      </c>
      <c r="M29" s="3">
        <v>0.11</v>
      </c>
      <c r="N29" s="9">
        <f t="shared" si="0"/>
        <v>2127.0952066115706</v>
      </c>
    </row>
    <row r="30" spans="1:14">
      <c r="A30" s="2">
        <v>1971</v>
      </c>
      <c r="B30" s="3">
        <v>7.1999999999999995E-2</v>
      </c>
      <c r="C30" s="3">
        <v>0.12</v>
      </c>
      <c r="D30" s="3">
        <v>0.15</v>
      </c>
      <c r="E30" s="3">
        <v>8.39</v>
      </c>
      <c r="F30" s="3">
        <v>0.18</v>
      </c>
      <c r="G30" s="3">
        <v>60.2</v>
      </c>
      <c r="H30" s="3">
        <v>0.13</v>
      </c>
      <c r="I30" s="3">
        <v>6.7000000000000004E-2</v>
      </c>
      <c r="J30" s="3">
        <v>0.13</v>
      </c>
      <c r="K30" s="3">
        <v>0.08</v>
      </c>
      <c r="L30" s="3">
        <v>0.2</v>
      </c>
      <c r="M30" s="3">
        <v>0.1</v>
      </c>
      <c r="N30" s="9">
        <f t="shared" si="0"/>
        <v>4155.6476033057861</v>
      </c>
    </row>
    <row r="31" spans="1:14">
      <c r="A31" s="2">
        <v>1972</v>
      </c>
      <c r="B31" s="3">
        <v>8.8999999999999996E-2</v>
      </c>
      <c r="C31" s="3">
        <v>0.12</v>
      </c>
      <c r="D31" s="3">
        <v>0.13</v>
      </c>
      <c r="E31" s="3">
        <v>0.22</v>
      </c>
      <c r="F31" s="3">
        <v>0.34</v>
      </c>
      <c r="G31" s="3">
        <v>0.3</v>
      </c>
      <c r="H31" s="3">
        <v>0.48</v>
      </c>
      <c r="I31" s="3">
        <v>2.3199999999999998</v>
      </c>
      <c r="J31" s="3">
        <v>0.26</v>
      </c>
      <c r="K31" s="3">
        <v>0.22</v>
      </c>
      <c r="L31" s="3">
        <v>0.36</v>
      </c>
      <c r="M31" s="3">
        <v>0.14000000000000001</v>
      </c>
      <c r="N31" s="9">
        <f t="shared" si="0"/>
        <v>303.23107438016535</v>
      </c>
    </row>
    <row r="32" spans="1:14">
      <c r="A32" s="2">
        <v>1973</v>
      </c>
      <c r="B32" s="3">
        <v>0.17</v>
      </c>
      <c r="C32" s="3">
        <v>70.900000000000006</v>
      </c>
      <c r="D32" s="3">
        <v>79.3</v>
      </c>
      <c r="E32" s="3">
        <v>180</v>
      </c>
      <c r="F32" s="3">
        <v>109</v>
      </c>
      <c r="G32" s="3">
        <v>52.5</v>
      </c>
      <c r="H32" s="3">
        <v>0.26</v>
      </c>
      <c r="I32" s="3">
        <v>0.24</v>
      </c>
      <c r="J32" s="3">
        <v>377</v>
      </c>
      <c r="K32" s="3">
        <v>972</v>
      </c>
      <c r="L32" s="3">
        <v>486</v>
      </c>
      <c r="M32" s="3">
        <v>110</v>
      </c>
      <c r="N32" s="9">
        <f t="shared" si="0"/>
        <v>147308.41983471074</v>
      </c>
    </row>
    <row r="33" spans="1:14">
      <c r="A33" s="2">
        <v>1974</v>
      </c>
      <c r="B33" s="3">
        <v>96.5</v>
      </c>
      <c r="C33" s="3">
        <v>229</v>
      </c>
      <c r="D33" s="3">
        <v>57.5</v>
      </c>
      <c r="E33" s="3">
        <v>54</v>
      </c>
      <c r="F33" s="3">
        <v>38.6</v>
      </c>
      <c r="G33" s="3">
        <v>0.96</v>
      </c>
      <c r="H33" s="3">
        <v>1.54</v>
      </c>
      <c r="I33" s="3">
        <v>1.81</v>
      </c>
      <c r="J33" s="3">
        <v>1.05</v>
      </c>
      <c r="K33" s="3">
        <v>0.1</v>
      </c>
      <c r="L33" s="3">
        <v>0.13</v>
      </c>
      <c r="M33" s="3">
        <v>0.11</v>
      </c>
      <c r="N33" s="9">
        <f t="shared" si="0"/>
        <v>28233.540495867768</v>
      </c>
    </row>
    <row r="34" spans="1:14">
      <c r="A34" s="2">
        <v>1975</v>
      </c>
      <c r="B34" s="3">
        <v>9.8000000000000004E-2</v>
      </c>
      <c r="C34" s="3">
        <v>0.12</v>
      </c>
      <c r="D34" s="3">
        <v>0.19</v>
      </c>
      <c r="E34" s="3">
        <v>0.16</v>
      </c>
      <c r="F34" s="3">
        <v>0.3</v>
      </c>
      <c r="G34" s="3">
        <v>124</v>
      </c>
      <c r="H34" s="3">
        <v>60.3</v>
      </c>
      <c r="I34" s="3">
        <v>1.82</v>
      </c>
      <c r="J34" s="3">
        <v>0.79</v>
      </c>
      <c r="K34" s="3">
        <v>0.17</v>
      </c>
      <c r="L34" s="3">
        <v>0.2</v>
      </c>
      <c r="M34" s="3">
        <v>9.0999999999999998E-2</v>
      </c>
      <c r="N34" s="9">
        <f t="shared" si="0"/>
        <v>11325.479008264463</v>
      </c>
    </row>
    <row r="35" spans="1:14">
      <c r="A35" s="2">
        <v>1976</v>
      </c>
      <c r="B35" s="3">
        <v>0.1</v>
      </c>
      <c r="C35" s="3">
        <v>0.18</v>
      </c>
      <c r="D35" s="3">
        <v>0.3</v>
      </c>
      <c r="E35" s="3">
        <v>0.38</v>
      </c>
      <c r="F35" s="3">
        <v>0.59</v>
      </c>
      <c r="G35" s="3">
        <v>0.49</v>
      </c>
      <c r="H35" s="3">
        <v>1.07</v>
      </c>
      <c r="I35" s="3">
        <v>0.54</v>
      </c>
      <c r="J35" s="3">
        <v>0.56999999999999995</v>
      </c>
      <c r="K35" s="3">
        <v>0.28000000000000003</v>
      </c>
      <c r="L35" s="3">
        <v>0.15</v>
      </c>
      <c r="M35" s="3">
        <v>9.9000000000000005E-2</v>
      </c>
      <c r="N35" s="9">
        <f t="shared" si="0"/>
        <v>287.86909090909091</v>
      </c>
    </row>
    <row r="36" spans="1:14">
      <c r="A36" s="2">
        <v>1977</v>
      </c>
      <c r="B36" s="3">
        <v>0.11</v>
      </c>
      <c r="C36" s="3">
        <v>0.13</v>
      </c>
      <c r="D36" s="3">
        <v>0.24</v>
      </c>
      <c r="E36" s="3">
        <v>0.21</v>
      </c>
      <c r="F36" s="3">
        <v>0.61</v>
      </c>
      <c r="G36" s="3">
        <v>0.62</v>
      </c>
      <c r="H36" s="3">
        <v>0.55000000000000004</v>
      </c>
      <c r="I36" s="3">
        <v>0.45</v>
      </c>
      <c r="J36" s="3">
        <v>0.35</v>
      </c>
      <c r="K36" s="3">
        <v>0.42</v>
      </c>
      <c r="L36" s="3">
        <v>0.28000000000000003</v>
      </c>
      <c r="M36" s="3">
        <v>0.13</v>
      </c>
      <c r="N36" s="9">
        <f t="shared" si="0"/>
        <v>248.49421487603308</v>
      </c>
    </row>
    <row r="37" spans="1:14">
      <c r="A37" s="2">
        <v>1978</v>
      </c>
      <c r="B37" s="3">
        <v>0.15</v>
      </c>
      <c r="C37" s="3">
        <v>0.21</v>
      </c>
      <c r="D37" s="3">
        <v>109</v>
      </c>
      <c r="E37" s="3">
        <v>46.3</v>
      </c>
      <c r="F37" s="3">
        <v>7.56</v>
      </c>
      <c r="G37" s="3">
        <v>0.36</v>
      </c>
      <c r="H37" s="3">
        <v>0.28999999999999998</v>
      </c>
      <c r="I37" s="3">
        <v>0.32</v>
      </c>
      <c r="J37" s="3">
        <v>2.63</v>
      </c>
      <c r="K37" s="3">
        <v>17.899999999999999</v>
      </c>
      <c r="L37" s="3">
        <v>7.14</v>
      </c>
      <c r="M37" s="3">
        <v>18</v>
      </c>
      <c r="N37" s="9">
        <f t="shared" si="0"/>
        <v>12790.715702479338</v>
      </c>
    </row>
    <row r="38" spans="1:14">
      <c r="A38" s="2">
        <v>1979</v>
      </c>
      <c r="B38" s="3">
        <v>1.1499999999999999</v>
      </c>
      <c r="C38" s="3">
        <v>0.38</v>
      </c>
      <c r="D38" s="3">
        <v>186</v>
      </c>
      <c r="E38" s="3">
        <v>213</v>
      </c>
      <c r="F38" s="3">
        <v>0.6</v>
      </c>
      <c r="G38" s="3">
        <v>0.33</v>
      </c>
      <c r="H38" s="3">
        <v>0.48</v>
      </c>
      <c r="I38" s="3">
        <v>0.43</v>
      </c>
      <c r="J38" s="3">
        <v>0.24</v>
      </c>
      <c r="K38" s="3">
        <v>0.27</v>
      </c>
      <c r="L38" s="3">
        <v>0.27</v>
      </c>
      <c r="M38" s="3">
        <v>24.7</v>
      </c>
      <c r="N38" s="9">
        <f t="shared" si="0"/>
        <v>25881.252892561988</v>
      </c>
    </row>
    <row r="39" spans="1:14">
      <c r="A39" s="2">
        <v>1980</v>
      </c>
      <c r="B39" s="3">
        <v>22.4</v>
      </c>
      <c r="C39" s="3">
        <v>0.14000000000000001</v>
      </c>
      <c r="D39" s="3">
        <v>0.34</v>
      </c>
      <c r="E39" s="3">
        <v>147</v>
      </c>
      <c r="F39" s="3">
        <v>0.31</v>
      </c>
      <c r="G39" s="3">
        <v>0.2</v>
      </c>
      <c r="H39" s="3">
        <v>0.21</v>
      </c>
      <c r="I39" s="3">
        <v>0.9</v>
      </c>
      <c r="J39" s="3">
        <v>0.22</v>
      </c>
      <c r="K39" s="3">
        <v>0.14000000000000001</v>
      </c>
      <c r="L39" s="3">
        <v>0.12</v>
      </c>
      <c r="M39" s="3">
        <v>0.12</v>
      </c>
      <c r="N39" s="9">
        <f t="shared" si="0"/>
        <v>10288.611570247936</v>
      </c>
    </row>
    <row r="40" spans="1:14">
      <c r="A40" s="2">
        <v>1981</v>
      </c>
      <c r="B40" s="3">
        <v>0.1</v>
      </c>
      <c r="C40" s="3">
        <v>9.9000000000000005E-2</v>
      </c>
      <c r="D40" s="3">
        <v>0.13</v>
      </c>
      <c r="E40" s="3">
        <v>0.13</v>
      </c>
      <c r="F40" s="3">
        <v>28</v>
      </c>
      <c r="G40" s="3">
        <v>82.4</v>
      </c>
      <c r="H40" s="3">
        <v>0.37</v>
      </c>
      <c r="I40" s="3">
        <v>0.25</v>
      </c>
      <c r="J40" s="3">
        <v>0.28999999999999998</v>
      </c>
      <c r="K40" s="3">
        <v>0.55000000000000004</v>
      </c>
      <c r="L40" s="3">
        <v>0.39</v>
      </c>
      <c r="M40" s="3">
        <v>34.200000000000003</v>
      </c>
      <c r="N40" s="9">
        <f t="shared" si="0"/>
        <v>8867.4976859504131</v>
      </c>
    </row>
    <row r="41" spans="1:14">
      <c r="A41" s="2">
        <v>1982</v>
      </c>
      <c r="B41" s="3">
        <v>0.13</v>
      </c>
      <c r="C41" s="3">
        <v>0.18</v>
      </c>
      <c r="D41" s="3">
        <v>0.16</v>
      </c>
      <c r="E41" s="3">
        <v>0.17</v>
      </c>
      <c r="F41" s="3">
        <v>41.7</v>
      </c>
      <c r="G41" s="3">
        <v>73</v>
      </c>
      <c r="H41" s="3">
        <v>0.51</v>
      </c>
      <c r="I41" s="3">
        <v>106</v>
      </c>
      <c r="J41" s="3">
        <v>5.4</v>
      </c>
      <c r="K41" s="3">
        <v>13.8</v>
      </c>
      <c r="L41" s="3">
        <v>0.05</v>
      </c>
      <c r="M41" s="3">
        <v>0.13</v>
      </c>
      <c r="N41" s="9">
        <f t="shared" si="0"/>
        <v>14675.732231404958</v>
      </c>
    </row>
    <row r="42" spans="1:14">
      <c r="A42" s="2">
        <v>1983</v>
      </c>
      <c r="B42" s="3">
        <v>4.2999999999999997E-2</v>
      </c>
      <c r="C42" s="3">
        <v>3.9E-2</v>
      </c>
      <c r="D42" s="3">
        <v>8.1000000000000003E-2</v>
      </c>
      <c r="E42" s="3">
        <v>5.3999999999999999E-2</v>
      </c>
      <c r="F42" s="3">
        <v>0.22</v>
      </c>
      <c r="G42" s="3">
        <v>84.1</v>
      </c>
      <c r="H42" s="3">
        <v>0.25</v>
      </c>
      <c r="I42" s="3">
        <v>0.18</v>
      </c>
      <c r="J42" s="3">
        <v>0.18</v>
      </c>
      <c r="K42" s="3">
        <v>7.0000000000000007E-2</v>
      </c>
      <c r="L42" s="3">
        <v>4.3999999999999997E-2</v>
      </c>
      <c r="M42" s="3">
        <v>1.2E-2</v>
      </c>
      <c r="N42" s="9">
        <f t="shared" si="0"/>
        <v>5075.6583471074382</v>
      </c>
    </row>
    <row r="43" spans="1:14">
      <c r="A43" s="2">
        <v>1984</v>
      </c>
      <c r="B43" s="3">
        <v>2.3E-2</v>
      </c>
      <c r="C43" s="3">
        <v>3.4000000000000002E-2</v>
      </c>
      <c r="D43" s="3">
        <v>44.6</v>
      </c>
      <c r="E43" s="3">
        <v>196</v>
      </c>
      <c r="F43" s="3">
        <v>162</v>
      </c>
      <c r="G43" s="3">
        <v>166</v>
      </c>
      <c r="H43" s="3">
        <v>0.59</v>
      </c>
      <c r="I43" s="3">
        <v>0.36</v>
      </c>
      <c r="J43" s="3">
        <v>0.32</v>
      </c>
      <c r="K43" s="3">
        <v>0.11</v>
      </c>
      <c r="L43" s="3">
        <v>3.2000000000000001E-2</v>
      </c>
      <c r="M43" s="3">
        <v>2.8000000000000001E-2</v>
      </c>
      <c r="N43" s="9">
        <f t="shared" si="0"/>
        <v>34334.998016528916</v>
      </c>
    </row>
    <row r="44" spans="1:14">
      <c r="A44" s="2">
        <v>1985</v>
      </c>
      <c r="B44" s="3">
        <v>1.9E-2</v>
      </c>
      <c r="C44" s="3">
        <v>3.1E-2</v>
      </c>
      <c r="D44" s="3">
        <v>3.1E-2</v>
      </c>
      <c r="E44" s="3">
        <v>5.6000000000000001E-2</v>
      </c>
      <c r="F44" s="3">
        <v>254</v>
      </c>
      <c r="G44" s="3">
        <v>62.6</v>
      </c>
      <c r="H44" s="3">
        <v>0.62</v>
      </c>
      <c r="I44" s="3">
        <v>192</v>
      </c>
      <c r="J44" s="3">
        <v>120</v>
      </c>
      <c r="K44" s="3">
        <v>6.89</v>
      </c>
      <c r="L44" s="3">
        <v>0.31</v>
      </c>
      <c r="M44" s="3">
        <v>0.15</v>
      </c>
      <c r="N44" s="9">
        <f t="shared" si="0"/>
        <v>38786.510578512389</v>
      </c>
    </row>
    <row r="45" spans="1:14">
      <c r="A45" s="2">
        <v>1986</v>
      </c>
      <c r="B45" s="3">
        <v>64</v>
      </c>
      <c r="C45" s="3">
        <v>0.33</v>
      </c>
      <c r="D45" s="3">
        <v>50.4</v>
      </c>
      <c r="E45" s="3">
        <v>0.32</v>
      </c>
      <c r="F45" s="3">
        <v>113</v>
      </c>
      <c r="G45" s="3">
        <v>0.7</v>
      </c>
      <c r="H45" s="3">
        <v>0.4</v>
      </c>
      <c r="I45" s="3">
        <v>0.35</v>
      </c>
      <c r="J45" s="3">
        <v>3.44</v>
      </c>
      <c r="K45" s="3">
        <v>379</v>
      </c>
      <c r="L45" s="3">
        <v>46.3</v>
      </c>
      <c r="M45" s="3">
        <v>0.2</v>
      </c>
      <c r="N45" s="9">
        <f t="shared" si="0"/>
        <v>40383.41652892562</v>
      </c>
    </row>
    <row r="46" spans="1:14">
      <c r="A46" s="2">
        <v>1987</v>
      </c>
      <c r="B46" s="3">
        <v>117</v>
      </c>
      <c r="C46" s="3">
        <v>0.25</v>
      </c>
      <c r="D46" s="3">
        <v>64.2</v>
      </c>
      <c r="E46" s="3">
        <v>848</v>
      </c>
      <c r="F46" s="3">
        <v>370</v>
      </c>
      <c r="G46" s="3">
        <v>7.7</v>
      </c>
      <c r="H46" s="3">
        <v>0.34</v>
      </c>
      <c r="I46" s="3">
        <v>0.56000000000000005</v>
      </c>
      <c r="J46" s="3">
        <v>0.22</v>
      </c>
      <c r="K46" s="3">
        <v>0.24</v>
      </c>
      <c r="L46" s="3">
        <v>0.22</v>
      </c>
      <c r="M46" s="3">
        <v>0.21</v>
      </c>
      <c r="N46" s="9">
        <f t="shared" si="0"/>
        <v>84932.851239669428</v>
      </c>
    </row>
    <row r="47" spans="1:14">
      <c r="A47" s="2">
        <v>1988</v>
      </c>
      <c r="B47" s="3">
        <v>0.18</v>
      </c>
      <c r="C47" s="3">
        <v>120</v>
      </c>
      <c r="D47" s="3">
        <v>19.600000000000001</v>
      </c>
      <c r="E47" s="3">
        <v>0.12</v>
      </c>
      <c r="F47" s="3">
        <v>5.6000000000000001E-2</v>
      </c>
      <c r="G47" s="3">
        <v>0.14000000000000001</v>
      </c>
      <c r="H47" s="3">
        <v>0.13</v>
      </c>
      <c r="I47" s="3">
        <v>0.12</v>
      </c>
      <c r="J47" s="3">
        <v>0.25</v>
      </c>
      <c r="K47" s="3">
        <v>0.27</v>
      </c>
      <c r="L47" s="3">
        <v>0.18</v>
      </c>
      <c r="M47" s="3">
        <v>0.13</v>
      </c>
      <c r="N47" s="9">
        <f t="shared" si="0"/>
        <v>8024.6598347107429</v>
      </c>
    </row>
    <row r="48" spans="1:14">
      <c r="A48" s="2">
        <v>1989</v>
      </c>
      <c r="B48" s="3">
        <v>0.12</v>
      </c>
      <c r="C48" s="3">
        <v>0.15</v>
      </c>
      <c r="D48" s="3">
        <v>0.21</v>
      </c>
      <c r="E48" s="3">
        <v>0.17</v>
      </c>
      <c r="F48" s="3">
        <v>0.1</v>
      </c>
      <c r="G48" s="3">
        <v>0.35</v>
      </c>
      <c r="H48" s="3">
        <v>0.26</v>
      </c>
      <c r="I48" s="3">
        <v>0.6</v>
      </c>
      <c r="J48" s="3">
        <v>0.26</v>
      </c>
      <c r="K48" s="3">
        <v>5.3999999999999999E-2</v>
      </c>
      <c r="L48" s="3">
        <v>0.16</v>
      </c>
      <c r="M48" s="3">
        <v>0.1</v>
      </c>
      <c r="N48" s="9">
        <f t="shared" si="0"/>
        <v>153.12694214876032</v>
      </c>
    </row>
    <row r="49" spans="1:14">
      <c r="A49" s="2">
        <v>1990</v>
      </c>
      <c r="B49" s="3">
        <v>4.3999999999999997E-2</v>
      </c>
      <c r="C49" s="3">
        <v>0.08</v>
      </c>
      <c r="D49" s="3">
        <v>0.2</v>
      </c>
      <c r="E49" s="3">
        <v>0.15</v>
      </c>
      <c r="F49" s="3">
        <v>0.43</v>
      </c>
      <c r="G49" s="3">
        <v>0.35</v>
      </c>
      <c r="H49" s="3">
        <v>0.28999999999999998</v>
      </c>
      <c r="I49" s="3">
        <v>0.12</v>
      </c>
      <c r="J49" s="3">
        <v>0.25</v>
      </c>
      <c r="K49" s="3">
        <v>2.3E-2</v>
      </c>
      <c r="L49" s="3">
        <v>5.0999999999999997E-2</v>
      </c>
      <c r="M49" s="3">
        <v>5.7000000000000002E-2</v>
      </c>
      <c r="N49" s="9">
        <f t="shared" si="0"/>
        <v>123.71702479338843</v>
      </c>
    </row>
    <row r="50" spans="1:14">
      <c r="A50" s="2">
        <v>1991</v>
      </c>
      <c r="B50" s="3">
        <v>7.2999999999999995E-2</v>
      </c>
      <c r="C50" s="3">
        <v>0.12</v>
      </c>
      <c r="D50" s="3">
        <v>0.11</v>
      </c>
      <c r="E50" s="3">
        <v>0.18</v>
      </c>
      <c r="F50" s="3">
        <v>0.75</v>
      </c>
      <c r="G50" s="3">
        <v>0.24</v>
      </c>
      <c r="H50" s="3">
        <v>0.11</v>
      </c>
      <c r="I50" s="3">
        <v>9.0999999999999998E-2</v>
      </c>
      <c r="J50" s="3">
        <v>4.8000000000000001E-2</v>
      </c>
      <c r="K50" s="3">
        <v>0</v>
      </c>
      <c r="L50" s="3">
        <v>4.0000000000000001E-3</v>
      </c>
      <c r="M50" s="3">
        <v>3.4000000000000002E-2</v>
      </c>
      <c r="N50" s="9">
        <f t="shared" si="0"/>
        <v>106.6274380165289</v>
      </c>
    </row>
    <row r="51" spans="1:14">
      <c r="A51" s="2">
        <v>1992</v>
      </c>
      <c r="B51" s="3">
        <v>0.1</v>
      </c>
      <c r="C51" s="3">
        <v>0.11</v>
      </c>
      <c r="D51" s="3">
        <v>4.5999999999999999E-2</v>
      </c>
      <c r="E51" s="3">
        <v>0.14000000000000001</v>
      </c>
      <c r="F51" s="3">
        <v>8.7999999999999995E-2</v>
      </c>
      <c r="G51" s="3">
        <v>0.21</v>
      </c>
      <c r="H51" s="3">
        <v>100</v>
      </c>
      <c r="I51" s="3">
        <v>164</v>
      </c>
      <c r="J51" s="3">
        <v>95.4</v>
      </c>
      <c r="K51" s="3">
        <v>0.12</v>
      </c>
      <c r="L51" s="3">
        <v>0.1</v>
      </c>
      <c r="M51" s="3">
        <v>0.23</v>
      </c>
      <c r="N51" s="9">
        <f t="shared" si="0"/>
        <v>21978.270743801648</v>
      </c>
    </row>
    <row r="52" spans="1:14">
      <c r="A52" s="2">
        <v>1993</v>
      </c>
      <c r="B52" s="3">
        <v>0.1</v>
      </c>
      <c r="C52" s="3">
        <v>124</v>
      </c>
      <c r="D52" s="3">
        <v>379</v>
      </c>
      <c r="E52" s="3">
        <v>78.8</v>
      </c>
      <c r="F52" s="3">
        <v>43.2</v>
      </c>
      <c r="G52" s="3">
        <v>33.6</v>
      </c>
      <c r="H52" s="3">
        <v>802</v>
      </c>
      <c r="I52" s="3">
        <v>724</v>
      </c>
      <c r="J52" s="3">
        <v>290</v>
      </c>
      <c r="K52" s="3">
        <v>95.3</v>
      </c>
      <c r="L52" s="3">
        <v>43.1</v>
      </c>
      <c r="M52" s="3">
        <v>103</v>
      </c>
      <c r="N52" s="9">
        <f t="shared" si="0"/>
        <v>165446.479338843</v>
      </c>
    </row>
    <row r="53" spans="1:14">
      <c r="A53" s="2">
        <v>1994</v>
      </c>
      <c r="B53" s="3">
        <v>49.3</v>
      </c>
      <c r="C53" s="3">
        <v>54</v>
      </c>
      <c r="D53" s="3">
        <v>46</v>
      </c>
      <c r="E53" s="3">
        <v>13.9</v>
      </c>
      <c r="F53" s="3">
        <v>46.8</v>
      </c>
      <c r="G53" s="3">
        <v>0.35</v>
      </c>
      <c r="H53" s="3">
        <v>0.31</v>
      </c>
      <c r="I53" s="3">
        <v>0.33</v>
      </c>
      <c r="J53" s="3">
        <v>0.2</v>
      </c>
      <c r="K53" s="3">
        <v>0.16</v>
      </c>
      <c r="L53" s="3">
        <v>0.13</v>
      </c>
      <c r="M53" s="3">
        <v>9.9000000000000005E-2</v>
      </c>
      <c r="N53" s="9">
        <f t="shared" si="0"/>
        <v>12686.021157024794</v>
      </c>
    </row>
    <row r="54" spans="1:14">
      <c r="A54" s="2">
        <v>1995</v>
      </c>
      <c r="B54" s="3">
        <v>0.1</v>
      </c>
      <c r="C54" s="3">
        <v>0.12</v>
      </c>
      <c r="D54" s="3">
        <v>0.09</v>
      </c>
      <c r="E54" s="3">
        <v>9.7000000000000003E-2</v>
      </c>
      <c r="F54" s="3">
        <v>0.42</v>
      </c>
      <c r="G54" s="3">
        <v>117</v>
      </c>
      <c r="H54" s="3">
        <v>0.26</v>
      </c>
      <c r="I54" s="3">
        <v>0.14000000000000001</v>
      </c>
      <c r="J54" s="3">
        <v>0.15</v>
      </c>
      <c r="K54" s="3">
        <v>0.13</v>
      </c>
      <c r="L54" s="3">
        <v>0.18</v>
      </c>
      <c r="M54" s="3">
        <v>0.14000000000000001</v>
      </c>
      <c r="N54" s="9">
        <f t="shared" si="0"/>
        <v>7072.8198347107455</v>
      </c>
    </row>
    <row r="55" spans="1:14">
      <c r="A55" s="2">
        <v>1996</v>
      </c>
      <c r="B55" s="3">
        <v>0.15</v>
      </c>
      <c r="C55" s="3">
        <v>0.15</v>
      </c>
      <c r="D55" s="3">
        <v>0.12</v>
      </c>
      <c r="E55" s="3">
        <v>0.21</v>
      </c>
      <c r="F55" s="3">
        <v>0.31</v>
      </c>
      <c r="G55" s="3">
        <v>0.41</v>
      </c>
      <c r="H55" s="3">
        <v>0.25</v>
      </c>
      <c r="I55" s="3">
        <v>0.37</v>
      </c>
      <c r="J55" s="3">
        <v>0.36</v>
      </c>
      <c r="K55" s="3">
        <v>0.17</v>
      </c>
      <c r="L55" s="3">
        <v>200</v>
      </c>
      <c r="M55" s="3">
        <v>61.5</v>
      </c>
      <c r="N55" s="9">
        <f t="shared" si="0"/>
        <v>15833.271074380165</v>
      </c>
    </row>
    <row r="56" spans="1:14">
      <c r="A56" s="2">
        <v>1997</v>
      </c>
      <c r="B56" s="3">
        <v>0.26</v>
      </c>
      <c r="C56" s="3">
        <v>0.19</v>
      </c>
      <c r="D56" s="3">
        <v>0.19</v>
      </c>
      <c r="E56" s="3">
        <v>53.8</v>
      </c>
      <c r="F56" s="3">
        <v>23.3</v>
      </c>
      <c r="G56" s="3">
        <v>49.2</v>
      </c>
      <c r="H56" s="3">
        <v>2.54</v>
      </c>
      <c r="I56" s="3">
        <v>0.28999999999999998</v>
      </c>
      <c r="J56" s="3">
        <v>0.36</v>
      </c>
      <c r="K56" s="3">
        <v>0.11</v>
      </c>
      <c r="L56" s="3">
        <v>6.9000000000000006E-2</v>
      </c>
      <c r="M56" s="3">
        <v>6.0999999999999999E-2</v>
      </c>
      <c r="N56" s="9">
        <f t="shared" si="0"/>
        <v>7809.9540495867777</v>
      </c>
    </row>
    <row r="57" spans="1:14">
      <c r="A57" s="2">
        <v>1998</v>
      </c>
      <c r="B57" s="3">
        <v>6.2E-2</v>
      </c>
      <c r="C57" s="3">
        <v>7.1999999999999995E-2</v>
      </c>
      <c r="D57" s="3">
        <v>21.1</v>
      </c>
      <c r="E57" s="3">
        <v>306</v>
      </c>
      <c r="F57" s="3">
        <v>40.700000000000003</v>
      </c>
      <c r="G57" s="3">
        <v>0.32</v>
      </c>
      <c r="H57" s="3">
        <v>0.25</v>
      </c>
      <c r="I57" s="3">
        <v>0.28000000000000003</v>
      </c>
      <c r="J57" s="3">
        <v>0.19</v>
      </c>
      <c r="K57" s="3">
        <v>0.1</v>
      </c>
      <c r="L57" s="3">
        <v>0.13</v>
      </c>
      <c r="M57" s="3">
        <v>0.11</v>
      </c>
      <c r="N57" s="9">
        <f t="shared" si="0"/>
        <v>22099.628429752072</v>
      </c>
    </row>
    <row r="58" spans="1:14">
      <c r="A58" s="2">
        <v>1999</v>
      </c>
      <c r="B58" s="3">
        <v>0.12</v>
      </c>
      <c r="C58" s="3">
        <v>0.14000000000000001</v>
      </c>
      <c r="D58" s="3">
        <v>0.12</v>
      </c>
      <c r="E58" s="3">
        <v>0.1</v>
      </c>
      <c r="F58" s="3">
        <v>0.19</v>
      </c>
      <c r="G58" s="3">
        <v>0.36</v>
      </c>
      <c r="H58" s="3">
        <v>0.24</v>
      </c>
      <c r="I58" s="3">
        <v>7.5999999999999998E-2</v>
      </c>
      <c r="J58" s="3">
        <v>0.11</v>
      </c>
      <c r="K58" s="3">
        <v>3.9E-2</v>
      </c>
      <c r="L58" s="3">
        <v>3.5000000000000003E-2</v>
      </c>
      <c r="M58" s="3">
        <v>4.3999999999999997E-2</v>
      </c>
      <c r="N58" s="9">
        <f t="shared" si="0"/>
        <v>94.817851239669409</v>
      </c>
    </row>
    <row r="59" spans="1:14">
      <c r="A59" s="2">
        <v>2000</v>
      </c>
      <c r="B59" s="3">
        <v>4.2000000000000003E-2</v>
      </c>
      <c r="C59" s="3">
        <v>8.2000000000000003E-2</v>
      </c>
      <c r="D59" s="3">
        <v>0.16</v>
      </c>
      <c r="E59" s="3">
        <v>0.32</v>
      </c>
      <c r="F59" s="3">
        <v>0.27</v>
      </c>
      <c r="G59" s="3">
        <v>0.14000000000000001</v>
      </c>
      <c r="H59" s="3">
        <v>0.11</v>
      </c>
      <c r="I59" s="3">
        <v>3.6999999999999998E-2</v>
      </c>
      <c r="J59" s="3">
        <v>4.1000000000000002E-2</v>
      </c>
      <c r="K59" s="3">
        <v>0.01</v>
      </c>
      <c r="L59" s="3">
        <v>5.3999999999999999E-2</v>
      </c>
      <c r="M59" s="3">
        <v>0.08</v>
      </c>
      <c r="N59" s="9">
        <f t="shared" si="0"/>
        <v>81.214214876033054</v>
      </c>
    </row>
    <row r="60" spans="1:14">
      <c r="A60" s="2">
        <v>2001</v>
      </c>
      <c r="B60" s="3">
        <v>0.28000000000000003</v>
      </c>
      <c r="C60" s="3">
        <v>0.28999999999999998</v>
      </c>
      <c r="D60" s="3">
        <v>0.34</v>
      </c>
      <c r="E60" s="3">
        <v>0.15</v>
      </c>
      <c r="F60" s="3">
        <v>83.4</v>
      </c>
      <c r="G60" s="3">
        <v>66.7</v>
      </c>
      <c r="H60" s="3">
        <v>0.91</v>
      </c>
      <c r="I60" s="3">
        <v>0.56999999999999995</v>
      </c>
      <c r="J60" s="3">
        <v>0.18</v>
      </c>
      <c r="K60" s="3">
        <v>0.27</v>
      </c>
      <c r="L60" s="3">
        <v>0.21</v>
      </c>
      <c r="M60" s="3">
        <v>0.23</v>
      </c>
      <c r="N60" s="9">
        <f t="shared" si="0"/>
        <v>9305.2413223140502</v>
      </c>
    </row>
    <row r="61" spans="1:14">
      <c r="A61" s="2">
        <v>2002</v>
      </c>
      <c r="B61" s="3">
        <v>0.16</v>
      </c>
      <c r="C61" s="3">
        <v>0.17</v>
      </c>
      <c r="D61" s="3">
        <v>0.22</v>
      </c>
      <c r="E61" s="3">
        <v>0.26</v>
      </c>
      <c r="F61" s="3">
        <v>0.31</v>
      </c>
      <c r="G61" s="3">
        <v>0.69</v>
      </c>
      <c r="H61" s="3">
        <v>0.26</v>
      </c>
      <c r="I61" s="3">
        <v>9.0999999999999998E-2</v>
      </c>
      <c r="J61" s="3">
        <v>6.3E-2</v>
      </c>
      <c r="K61" s="3"/>
      <c r="L61" s="3"/>
      <c r="M61" s="3"/>
      <c r="N61" s="9">
        <f t="shared" si="0"/>
        <v>133.81190082644628</v>
      </c>
    </row>
    <row r="62" spans="1:14">
      <c r="A62" s="1" t="s">
        <v>19</v>
      </c>
      <c r="B62" s="94">
        <v>8.35</v>
      </c>
      <c r="C62" s="94">
        <v>24.5</v>
      </c>
      <c r="D62" s="94">
        <v>29.8</v>
      </c>
      <c r="E62" s="94">
        <v>50.3</v>
      </c>
      <c r="F62" s="94">
        <v>47.7</v>
      </c>
      <c r="G62" s="94">
        <v>93.2</v>
      </c>
      <c r="H62" s="94">
        <v>60.3</v>
      </c>
      <c r="I62" s="94">
        <v>31</v>
      </c>
      <c r="J62" s="94">
        <v>49.1</v>
      </c>
      <c r="K62" s="94">
        <v>42.3</v>
      </c>
      <c r="L62" s="94">
        <v>18.3</v>
      </c>
      <c r="M62" s="94">
        <v>8.6199999999999992</v>
      </c>
    </row>
    <row r="63" spans="1:14">
      <c r="A63" s="4" t="s">
        <v>20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1:14" ht="25.35">
      <c r="A64" s="5" t="s">
        <v>21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</sheetData>
  <mergeCells count="14">
    <mergeCell ref="L62:L64"/>
    <mergeCell ref="M62:M64"/>
    <mergeCell ref="A3:A4"/>
    <mergeCell ref="B3:M3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K62:K6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Doc</vt:lpstr>
      <vt:lpstr>ref</vt:lpstr>
      <vt:lpstr>RR_CBCU</vt:lpstr>
      <vt:lpstr>WRC_BurrOak_annual</vt:lpstr>
      <vt:lpstr>C-LOV</vt:lpstr>
      <vt:lpstr>C-BELOW</vt:lpstr>
      <vt:lpstr>LVKS_Out_AF</vt:lpstr>
      <vt:lpstr>WRC_BurrOak_monthly</vt:lpstr>
      <vt:lpstr>WRC_bl_Lovewell_USGS</vt:lpstr>
      <vt:lpstr>RR_CBCU!Print_Area</vt:lpstr>
    </vt:vector>
  </TitlesOfParts>
  <Company>Kansas Dept.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dbarfield</dc:creator>
  <cp:lastModifiedBy>Perkins, Sam</cp:lastModifiedBy>
  <cp:lastPrinted>2005-07-25T20:04:18Z</cp:lastPrinted>
  <dcterms:created xsi:type="dcterms:W3CDTF">2005-07-23T19:33:28Z</dcterms:created>
  <dcterms:modified xsi:type="dcterms:W3CDTF">2018-07-06T17:13:24Z</dcterms:modified>
</cp:coreProperties>
</file>